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a0499631\TI Drive\device\0-LM5125\Calc\"/>
    </mc:Choice>
  </mc:AlternateContent>
  <xr:revisionPtr revIDLastSave="0" documentId="13_ncr:1_{79036248-2F9D-4B37-996F-49E9921AAD9F}" xr6:coauthVersionLast="36" xr6:coauthVersionMax="36" xr10:uidLastSave="{00000000-0000-0000-0000-000000000000}"/>
  <workbookProtection workbookAlgorithmName="SHA-512" workbookHashValue="sfjarFIjbaWCbv7hz378+TCov098/UIPmgH+eb6beGuD/JRkc+rcZ6ddbelHOqDaT7Pa932vvENzj7lj0lM1BQ==" workbookSaltValue="7OHglEuUCcqWqMXlJScrBA==" workbookSpinCount="100000" lockStructure="1"/>
  <bookViews>
    <workbookView xWindow="0" yWindow="0" windowWidth="24720" windowHeight="12225" tabRatio="741" xr2:uid="{00000000-000D-0000-FFFF-FFFF00000000}"/>
  </bookViews>
  <sheets>
    <sheet name="Design Converter" sheetId="1" r:id="rId1"/>
    <sheet name="Variable_Management" sheetId="2" state="hidden" r:id="rId2"/>
    <sheet name="Loop_Modeling" sheetId="5" state="hidden" r:id="rId3"/>
    <sheet name="Eff_vs_IOUT" sheetId="4" state="hidden" r:id="rId4"/>
    <sheet name="Constants" sheetId="3" state="hidden" r:id="rId5"/>
    <sheet name="Lists" sheetId="7" state="hidden" r:id="rId6"/>
    <sheet name="Important Notice and Disclaimer" sheetId="6" r:id="rId7"/>
  </sheets>
  <definedNames>
    <definedName name="Acs">Constants!$B$26</definedName>
    <definedName name="Adc">Loop_Modeling!$B$38</definedName>
    <definedName name="Adc_ea">Loop_Modeling!$B$62</definedName>
    <definedName name="ADC_VINmin">Variable_Management!$B$215</definedName>
    <definedName name="CCOMP">Variable_Management!$B$280</definedName>
    <definedName name="CCOMP_Calc">Variable_Management!$B$279</definedName>
    <definedName name="CCOMP_calc_CCM">Variable_Management!$B$244</definedName>
    <definedName name="CCOMP_CALC_DCM">Variable_Management!$B$270</definedName>
    <definedName name="CHF">Variable_Management!$B$282</definedName>
    <definedName name="CHF_calc">Variable_Management!$B$281</definedName>
    <definedName name="CHF_CALC_CCM">Variable_Management!$B$245</definedName>
    <definedName name="CHF_CALC_DCM">Variable_Management!$B$271</definedName>
    <definedName name="CISS">Variable_Management!$B$141</definedName>
    <definedName name="Comp_calc_CCM">Variable_Management!$B$244</definedName>
    <definedName name="Cout">Variable_Management!$B$114</definedName>
    <definedName name="Cout_min">Variable_Management!$B$112</definedName>
    <definedName name="D_limit_max">Constants!#REF!</definedName>
    <definedName name="D_limit_min">Constants!#REF!</definedName>
    <definedName name="D_limit_nom">Constants!#REF!</definedName>
    <definedName name="DC_DCM_max">Variable_Management!$B$42</definedName>
    <definedName name="Dc_max_IC">Variable_Management!$B$26</definedName>
    <definedName name="Dc_max_ideal">Variable_Management!$A$25</definedName>
    <definedName name="DC_rip">Variable_Management!$B$35</definedName>
    <definedName name="Dc_rip_max">Variable_Management!$B$34</definedName>
    <definedName name="Dc_VIN_max">Variable_Management!$B$74</definedName>
    <definedName name="Dc_VIN_min">Variable_Management!$B$58</definedName>
    <definedName name="Dc_VIN_nom">Variable_Management!$B$66</definedName>
    <definedName name="DC_VIN_var_DCM">Loop_Modeling!$B$70</definedName>
    <definedName name="EFF_est">Variable_Management!$B$17</definedName>
    <definedName name="Eff_vs_IOUT">#REF!</definedName>
    <definedName name="fcross">Variable_Management!$B$275</definedName>
    <definedName name="fcross_est">Variable_Management!$B$274</definedName>
    <definedName name="fp_ea_est">Variable_Management!$B$237</definedName>
    <definedName name="Fsw">Variable_Management!$B$11</definedName>
    <definedName name="fz_ea_est">Variable_Management!$B$236</definedName>
    <definedName name="fz_rhp">Variable_Management!$B$224</definedName>
    <definedName name="GAIN">Variable_Management!$K$121</definedName>
    <definedName name="Gcomp">Constants!$B$25</definedName>
    <definedName name="gfs">Variable_Management!$B$298</definedName>
    <definedName name="GIMON">Constants!$B$54</definedName>
    <definedName name="gm_ea">Constants!$B$30</definedName>
    <definedName name="Gplant_fc_dB">Loop_Modeling!$AG$7</definedName>
    <definedName name="I_offset">Constants!$B$53</definedName>
    <definedName name="IIN_33">Variable_Management!$B$38</definedName>
    <definedName name="IL_avg_VIN_max">Variable_Management!$B$76</definedName>
    <definedName name="IL_avg_VIN_min">Variable_Management!$B$60</definedName>
    <definedName name="IL_avg_VIN_nom">Variable_Management!$B$68</definedName>
    <definedName name="IL_pk">Variable_Management!$B$97</definedName>
    <definedName name="IL_pk_max">Variable_Management!$B$98</definedName>
    <definedName name="ILp_VINmax">Variable_Management!$B$78</definedName>
    <definedName name="ILp_VINmin">Variable_Management!$B$62</definedName>
    <definedName name="ILp_VINnom">Variable_Management!$B$70</definedName>
    <definedName name="ILrip">Variable_Management!$B$33</definedName>
    <definedName name="ILrip_VINmax">Variable_Management!$B$77</definedName>
    <definedName name="ILrip_VINmin">Variable_Management!$B$61</definedName>
    <definedName name="ILrip_VINnom">Variable_Management!$B$69</definedName>
    <definedName name="IOUT">Variable_Management!$B$14</definedName>
    <definedName name="IOUT_VAR">Loop_Modeling!$B$17</definedName>
    <definedName name="Ipk_margin">Variable_Management!$B$81</definedName>
    <definedName name="Ipk_selected">Variable_Management!$B$83</definedName>
    <definedName name="IQ">Constants!$B$43</definedName>
    <definedName name="IRMS_COUT">Variable_Management!$B$113</definedName>
    <definedName name="Isl">Constants!#REF!</definedName>
    <definedName name="Iss">Constants!$B$33</definedName>
    <definedName name="Kd">Loop_Modeling!$B$36</definedName>
    <definedName name="Kd_VINmin">Variable_Management!$B$211</definedName>
    <definedName name="Kex">Loop_Modeling!$B$34</definedName>
    <definedName name="Kex_VINmin">Variable_Management!$B$209</definedName>
    <definedName name="Kfb">Variable_Management!$B$197</definedName>
    <definedName name="Kfb_high">Constants!#REF!</definedName>
    <definedName name="Kfb_low">Constants!#REF!</definedName>
    <definedName name="Km">Loop_Modeling!$B$35</definedName>
    <definedName name="Km_VINmin">Variable_Management!$B$210</definedName>
    <definedName name="Kslope">Variable_Management!#REF!</definedName>
    <definedName name="Lm">Variable_Management!$B$50</definedName>
    <definedName name="Lopt">Variable_Management!#REF!</definedName>
    <definedName name="Lopt_2">Variable_Management!$B$39</definedName>
    <definedName name="M_L_DCM">Variable_Management!$B$44</definedName>
    <definedName name="Np">'Design Converter'!$H$101</definedName>
    <definedName name="POUT">Variable_Management!$B$16</definedName>
    <definedName name="_xlnm.Print_Area" localSheetId="0">'Design Converter'!$A$1:$Z$137</definedName>
    <definedName name="Q">Loop_Modeling!$B$52</definedName>
    <definedName name="Q_VINmin">Variable_Management!$B$232</definedName>
    <definedName name="Qg_tot">Variable_Management!$B$293</definedName>
    <definedName name="Qg_tot_HS">Variable_Management!$B$310</definedName>
    <definedName name="Qgd">Variable_Management!$B$294</definedName>
    <definedName name="Qgs">Variable_Management!$B$295</definedName>
    <definedName name="Qrr">Variable_Management!$B$318</definedName>
    <definedName name="R_ATRK">Variable_Management!$B$20</definedName>
    <definedName name="R_cs">Variable_Management!$B$93</definedName>
    <definedName name="R_sl">Variable_Management!$B$94</definedName>
    <definedName name="RCOMP">Variable_Management!$B$278</definedName>
    <definedName name="RCOMP_Calc">Variable_Management!$B$277</definedName>
    <definedName name="Rcomp_calc_CCM">Variable_Management!$B$243</definedName>
    <definedName name="RCOMP_CALC_DCM">Variable_Management!$B$269</definedName>
    <definedName name="Rcs_max">Variable_Management!$B$86</definedName>
    <definedName name="Rcs_w_sl">Variable_Management!#REF!</definedName>
    <definedName name="Rcs_wo_sl">Variable_Management!$B$87</definedName>
    <definedName name="Rdcr">Variable_Management!$B$51</definedName>
    <definedName name="RDS_on">Variable_Management!$B$292</definedName>
    <definedName name="RDS_on_HS">Variable_Management!$B$309</definedName>
    <definedName name="Resr">Variable_Management!$B$115</definedName>
    <definedName name="RFBB">Variable_Management!$B$200</definedName>
    <definedName name="RFBB_calc">Variable_Management!#REF!</definedName>
    <definedName name="RFBT">Variable_Management!$B$199</definedName>
    <definedName name="Rg">Variable_Management!$B$142</definedName>
    <definedName name="Rg_int">Constants!$B$58</definedName>
    <definedName name="Rgate">Variable_Management!$B$296</definedName>
    <definedName name="Rmax">Variable_Management!#REF!</definedName>
    <definedName name="Rmax_high">Constants!#REF!</definedName>
    <definedName name="Rmax_low">Constants!#REF!</definedName>
    <definedName name="Rmin">Variable_Management!#REF!</definedName>
    <definedName name="Rmin_high">Constants!#REF!</definedName>
    <definedName name="Rmin_low">Constants!#REF!</definedName>
    <definedName name="ROUT">Variable_Management!$B$15</definedName>
    <definedName name="Rsl_int">Constants!#REF!</definedName>
    <definedName name="RT">Variable_Management!$B$12</definedName>
    <definedName name="Ruvlo_bottom_calc">Variable_Management!$B$180</definedName>
    <definedName name="Ruvlo_bottom_sel">Variable_Management!$B$181</definedName>
    <definedName name="Ruvlo_top_sel">Variable_Management!$B$179</definedName>
    <definedName name="Se_VINmin">Variable_Management!$B$228</definedName>
    <definedName name="Sn_VINmin">Variable_Management!$B$229</definedName>
    <definedName name="t_dead">Variable_Management!$B$148</definedName>
    <definedName name="tf_sw">Variable_Management!$B$305</definedName>
    <definedName name="tr_sw">Variable_Management!$B$304</definedName>
    <definedName name="tss">Variable_Management!$B$188</definedName>
    <definedName name="UV_fall">Constants!$B$36</definedName>
    <definedName name="UV_I_hyst">Constants!$B$37</definedName>
    <definedName name="UV_rise">Constants!$B$35</definedName>
    <definedName name="V_ATRK">Variable_Management!$B$21</definedName>
    <definedName name="V_ILIM">Constants!$B$55</definedName>
    <definedName name="Vcc">Constants!$B$40</definedName>
    <definedName name="Vcl">Constants!$B$24</definedName>
    <definedName name="Vd_rect">Variable_Management!$B$319</definedName>
    <definedName name="Vgsth">Variable_Management!$B$143</definedName>
    <definedName name="VIN_33">Variable_Management!$B$36</definedName>
    <definedName name="VIN_max">Variable_Management!$B$10</definedName>
    <definedName name="VIN_min">Variable_Management!$B$8</definedName>
    <definedName name="VIN_nom">Variable_Management!$B$9</definedName>
    <definedName name="VIN_op_max">Constants!$B$47</definedName>
    <definedName name="VIN_op_min">Constants!$B$46</definedName>
    <definedName name="VIN_var">Variable_Management!$B$9</definedName>
    <definedName name="VOUT">Variable_Management!$B$13</definedName>
    <definedName name="VOUT_range">Variable_Management!#REF!</definedName>
    <definedName name="Vout_rip_sel">Variable_Management!$B$110</definedName>
    <definedName name="Vref">Constants!$B$29</definedName>
    <definedName name="Vsl">Constants!$B$22</definedName>
    <definedName name="Vth">Variable_Management!$B$299</definedName>
    <definedName name="VTRK">Variable_Management!$B$198</definedName>
    <definedName name="Vuvlo_off">Variable_Management!$B$174</definedName>
    <definedName name="Vuvlo_on">Variable_Management!$B$173</definedName>
    <definedName name="wp_lf">Loop_Modeling!$B$39</definedName>
    <definedName name="wp_lf_DCM">Loop_Modeling!$B$73</definedName>
    <definedName name="wp_lf_VINmin">Variable_Management!$B$217</definedName>
    <definedName name="wp0_ea">Loop_Modeling!$B$64</definedName>
    <definedName name="wp1_ea">Loop_Modeling!$B$65</definedName>
    <definedName name="wsl">Loop_Modeling!$B$51</definedName>
    <definedName name="wsl_VINmin">Variable_Management!$B$231</definedName>
    <definedName name="wz_ea">Loop_Modeling!$B$63</definedName>
    <definedName name="wz_esr">Loop_Modeling!$B$45</definedName>
    <definedName name="wz_esr_VINmin">Variable_Management!$B$220</definedName>
    <definedName name="wz_rhp">Loop_Modeling!$B$42</definedName>
    <definedName name="wz_RHP_VINmin">Variable_Management!$B$223</definedName>
    <definedName name="wz1_dcm">Loop_Modeling!$B$75</definedName>
    <definedName name="wz2_dcm">Loop_Modeling!$B$77</definedName>
  </definedNames>
  <calcPr calcId="191029"/>
</workbook>
</file>

<file path=xl/calcChain.xml><?xml version="1.0" encoding="utf-8"?>
<calcChain xmlns="http://schemas.openxmlformats.org/spreadsheetml/2006/main">
  <c r="R6" i="7" l="1"/>
  <c r="R5" i="7"/>
  <c r="R3" i="7"/>
  <c r="R4" i="7"/>
  <c r="L21" i="7"/>
  <c r="B19" i="2"/>
  <c r="B148" i="2"/>
  <c r="L23" i="7" l="1"/>
  <c r="L22" i="7"/>
  <c r="B161" i="2"/>
  <c r="L27" i="7" s="1"/>
  <c r="E1" i="1"/>
  <c r="B163" i="2" l="1"/>
  <c r="AC20" i="5"/>
  <c r="AC21" i="5"/>
  <c r="AC22" i="5"/>
  <c r="AC23" i="5"/>
  <c r="AE23" i="5" s="1"/>
  <c r="AC24" i="5"/>
  <c r="AC25" i="5"/>
  <c r="AC26" i="5"/>
  <c r="AD26" i="5" s="1"/>
  <c r="AC27" i="5"/>
  <c r="AD27" i="5" s="1"/>
  <c r="AC28" i="5"/>
  <c r="AC29" i="5"/>
  <c r="AC30" i="5"/>
  <c r="AC31" i="5"/>
  <c r="AE31" i="5" s="1"/>
  <c r="AC32" i="5"/>
  <c r="AC33" i="5"/>
  <c r="AC34" i="5"/>
  <c r="AD34" i="5" s="1"/>
  <c r="AC35" i="5"/>
  <c r="AD35" i="5" s="1"/>
  <c r="AC36" i="5"/>
  <c r="AC37" i="5"/>
  <c r="AD37" i="5" s="1"/>
  <c r="AC38" i="5"/>
  <c r="AC39" i="5"/>
  <c r="AD39" i="5" s="1"/>
  <c r="AC40" i="5"/>
  <c r="AC41" i="5"/>
  <c r="AC42" i="5"/>
  <c r="AD42" i="5" s="1"/>
  <c r="AC43" i="5"/>
  <c r="AD43" i="5" s="1"/>
  <c r="AC44" i="5"/>
  <c r="AC45" i="5"/>
  <c r="AD45" i="5" s="1"/>
  <c r="AC46" i="5"/>
  <c r="AC47" i="5"/>
  <c r="AD47" i="5" s="1"/>
  <c r="AC48" i="5"/>
  <c r="AC49" i="5"/>
  <c r="AC50" i="5"/>
  <c r="AD50" i="5" s="1"/>
  <c r="AC51" i="5"/>
  <c r="AD51" i="5" s="1"/>
  <c r="AC52" i="5"/>
  <c r="AC53" i="5"/>
  <c r="AD53" i="5" s="1"/>
  <c r="AC54" i="5"/>
  <c r="AC55" i="5"/>
  <c r="AD55" i="5" s="1"/>
  <c r="AC56" i="5"/>
  <c r="AC57" i="5"/>
  <c r="AC58" i="5"/>
  <c r="AD58" i="5" s="1"/>
  <c r="AC59" i="5"/>
  <c r="AD59" i="5" s="1"/>
  <c r="AC60" i="5"/>
  <c r="AC61" i="5"/>
  <c r="AD61" i="5" s="1"/>
  <c r="AC62" i="5"/>
  <c r="AC63" i="5"/>
  <c r="AD63" i="5" s="1"/>
  <c r="AC64" i="5"/>
  <c r="AC65" i="5"/>
  <c r="AC66" i="5"/>
  <c r="AE66" i="5" s="1"/>
  <c r="AC67" i="5"/>
  <c r="AD67" i="5" s="1"/>
  <c r="AC68" i="5"/>
  <c r="AC69" i="5"/>
  <c r="AC70" i="5"/>
  <c r="AC71" i="5"/>
  <c r="AD71" i="5" s="1"/>
  <c r="AC72" i="5"/>
  <c r="AC73" i="5"/>
  <c r="AC74" i="5"/>
  <c r="AE74" i="5" s="1"/>
  <c r="AC75" i="5"/>
  <c r="AD75" i="5" s="1"/>
  <c r="AC76" i="5"/>
  <c r="AC77" i="5"/>
  <c r="AD77" i="5" s="1"/>
  <c r="AC78" i="5"/>
  <c r="AC79" i="5"/>
  <c r="AD79" i="5" s="1"/>
  <c r="AC80" i="5"/>
  <c r="AC81" i="5"/>
  <c r="AC82" i="5"/>
  <c r="AE82" i="5" s="1"/>
  <c r="AC83" i="5"/>
  <c r="AD83" i="5" s="1"/>
  <c r="AC84" i="5"/>
  <c r="AC85" i="5"/>
  <c r="AD85" i="5" s="1"/>
  <c r="AC86" i="5"/>
  <c r="AC87" i="5"/>
  <c r="AD87" i="5" s="1"/>
  <c r="AC88" i="5"/>
  <c r="AC89" i="5"/>
  <c r="AC90" i="5"/>
  <c r="AE90" i="5" s="1"/>
  <c r="AC91" i="5"/>
  <c r="AD91" i="5" s="1"/>
  <c r="AC92" i="5"/>
  <c r="AC93" i="5"/>
  <c r="AD93" i="5" s="1"/>
  <c r="AC94" i="5"/>
  <c r="AC95" i="5"/>
  <c r="AD95" i="5" s="1"/>
  <c r="AC96" i="5"/>
  <c r="AC97" i="5"/>
  <c r="AC98" i="5"/>
  <c r="AE98" i="5" s="1"/>
  <c r="AC99" i="5"/>
  <c r="AD99" i="5" s="1"/>
  <c r="AC100" i="5"/>
  <c r="AC101" i="5"/>
  <c r="AD101" i="5" s="1"/>
  <c r="AC102" i="5"/>
  <c r="AC103" i="5"/>
  <c r="AD103" i="5" s="1"/>
  <c r="AC104" i="5"/>
  <c r="AC105" i="5"/>
  <c r="AC106" i="5"/>
  <c r="AD106" i="5" s="1"/>
  <c r="AC107" i="5"/>
  <c r="AD107" i="5" s="1"/>
  <c r="AC108" i="5"/>
  <c r="AC109" i="5"/>
  <c r="AC110" i="5"/>
  <c r="AC111" i="5"/>
  <c r="AD111" i="5" s="1"/>
  <c r="AC112" i="5"/>
  <c r="AC113" i="5"/>
  <c r="AC114" i="5"/>
  <c r="AE114" i="5" s="1"/>
  <c r="AC115" i="5"/>
  <c r="AD115" i="5" s="1"/>
  <c r="AC116" i="5"/>
  <c r="AC117" i="5"/>
  <c r="AD117" i="5" s="1"/>
  <c r="AC118" i="5"/>
  <c r="AC119" i="5"/>
  <c r="AD119" i="5" s="1"/>
  <c r="AC120" i="5"/>
  <c r="AC121" i="5"/>
  <c r="AC122" i="5"/>
  <c r="AE122" i="5" s="1"/>
  <c r="AC123" i="5"/>
  <c r="AD123" i="5" s="1"/>
  <c r="AC124" i="5"/>
  <c r="AC125" i="5"/>
  <c r="AC126" i="5"/>
  <c r="AC127" i="5"/>
  <c r="AE127" i="5" s="1"/>
  <c r="AC128" i="5"/>
  <c r="AC129" i="5"/>
  <c r="AC130" i="5"/>
  <c r="AE130" i="5" s="1"/>
  <c r="AC131" i="5"/>
  <c r="AE131" i="5" s="1"/>
  <c r="AC132" i="5"/>
  <c r="AC133" i="5"/>
  <c r="AD133" i="5" s="1"/>
  <c r="AC134" i="5"/>
  <c r="AC135" i="5"/>
  <c r="AD135" i="5" s="1"/>
  <c r="AC136" i="5"/>
  <c r="AC137" i="5"/>
  <c r="AC138" i="5"/>
  <c r="AE138" i="5" s="1"/>
  <c r="AC139" i="5"/>
  <c r="AD139" i="5" s="1"/>
  <c r="AC140" i="5"/>
  <c r="AC141" i="5"/>
  <c r="AC142" i="5"/>
  <c r="AC143" i="5"/>
  <c r="AD143" i="5" s="1"/>
  <c r="AC144" i="5"/>
  <c r="AC145" i="5"/>
  <c r="AC146" i="5"/>
  <c r="AE146" i="5" s="1"/>
  <c r="AC147" i="5"/>
  <c r="AD147" i="5" s="1"/>
  <c r="AC148" i="5"/>
  <c r="AC149" i="5"/>
  <c r="AD149" i="5" s="1"/>
  <c r="AC150" i="5"/>
  <c r="AC151" i="5"/>
  <c r="AE151" i="5" s="1"/>
  <c r="AC152" i="5"/>
  <c r="AC153" i="5"/>
  <c r="AC154" i="5"/>
  <c r="AD154" i="5" s="1"/>
  <c r="AC155" i="5"/>
  <c r="AD155" i="5" s="1"/>
  <c r="AC156" i="5"/>
  <c r="AC157" i="5"/>
  <c r="AC158" i="5"/>
  <c r="AC159" i="5"/>
  <c r="AD159" i="5" s="1"/>
  <c r="AC160" i="5"/>
  <c r="AC161" i="5"/>
  <c r="AC162" i="5"/>
  <c r="AE162" i="5" s="1"/>
  <c r="AC163" i="5"/>
  <c r="AD163" i="5" s="1"/>
  <c r="AC164" i="5"/>
  <c r="AC165" i="5"/>
  <c r="AD165" i="5" s="1"/>
  <c r="AC166" i="5"/>
  <c r="AC167" i="5"/>
  <c r="AE167" i="5" s="1"/>
  <c r="AC168" i="5"/>
  <c r="AC169" i="5"/>
  <c r="AC170" i="5"/>
  <c r="AE170" i="5" s="1"/>
  <c r="AC171" i="5"/>
  <c r="AD171" i="5" s="1"/>
  <c r="AC172" i="5"/>
  <c r="AC173" i="5"/>
  <c r="AC174" i="5"/>
  <c r="AC175" i="5"/>
  <c r="AE175" i="5" s="1"/>
  <c r="AC176" i="5"/>
  <c r="AC177" i="5"/>
  <c r="AC178" i="5"/>
  <c r="AE178" i="5" s="1"/>
  <c r="AC179" i="5"/>
  <c r="AD179" i="5" s="1"/>
  <c r="AC180" i="5"/>
  <c r="AC181" i="5"/>
  <c r="AD181" i="5" s="1"/>
  <c r="AC182" i="5"/>
  <c r="AC183" i="5"/>
  <c r="AD183" i="5" s="1"/>
  <c r="AC184" i="5"/>
  <c r="AC185" i="5"/>
  <c r="AC186" i="5"/>
  <c r="AE186" i="5" s="1"/>
  <c r="AC187" i="5"/>
  <c r="AE187" i="5" s="1"/>
  <c r="AC188" i="5"/>
  <c r="AC189" i="5"/>
  <c r="AC190" i="5"/>
  <c r="AC191" i="5"/>
  <c r="AE191" i="5" s="1"/>
  <c r="AC192" i="5"/>
  <c r="AC193" i="5"/>
  <c r="AC194" i="5"/>
  <c r="AD194" i="5" s="1"/>
  <c r="AC195" i="5"/>
  <c r="AD195" i="5" s="1"/>
  <c r="AC196" i="5"/>
  <c r="AC197" i="5"/>
  <c r="AD197" i="5" s="1"/>
  <c r="AC198" i="5"/>
  <c r="AC199" i="5"/>
  <c r="AE199" i="5" s="1"/>
  <c r="AC200" i="5"/>
  <c r="AC201" i="5"/>
  <c r="AC202" i="5"/>
  <c r="AE202" i="5" s="1"/>
  <c r="AC203" i="5"/>
  <c r="AD203" i="5" s="1"/>
  <c r="AC204" i="5"/>
  <c r="AC205" i="5"/>
  <c r="AC206" i="5"/>
  <c r="AC207" i="5"/>
  <c r="AE207" i="5" s="1"/>
  <c r="AC208" i="5"/>
  <c r="AC209" i="5"/>
  <c r="AC210" i="5"/>
  <c r="AE210" i="5" s="1"/>
  <c r="AC211" i="5"/>
  <c r="AD211" i="5" s="1"/>
  <c r="AC212" i="5"/>
  <c r="AC213" i="5"/>
  <c r="AD213" i="5" s="1"/>
  <c r="AC214" i="5"/>
  <c r="AC215" i="5"/>
  <c r="AD215" i="5" s="1"/>
  <c r="AC216" i="5"/>
  <c r="AC217" i="5"/>
  <c r="AC218" i="5"/>
  <c r="AE218" i="5" s="1"/>
  <c r="AC219" i="5"/>
  <c r="AE219" i="5" s="1"/>
  <c r="AC220" i="5"/>
  <c r="AC221" i="5"/>
  <c r="AC222" i="5"/>
  <c r="AC223" i="5"/>
  <c r="AD223" i="5" s="1"/>
  <c r="AC224" i="5"/>
  <c r="AC225" i="5"/>
  <c r="AC226" i="5"/>
  <c r="AE226" i="5" s="1"/>
  <c r="AC227" i="5"/>
  <c r="AE227" i="5" s="1"/>
  <c r="AC228" i="5"/>
  <c r="AC229" i="5"/>
  <c r="AD229" i="5" s="1"/>
  <c r="AC230" i="5"/>
  <c r="AC231" i="5"/>
  <c r="AD231" i="5" s="1"/>
  <c r="AC232" i="5"/>
  <c r="AC233" i="5"/>
  <c r="AC234" i="5"/>
  <c r="AE234" i="5" s="1"/>
  <c r="AC235" i="5"/>
  <c r="AD235" i="5" s="1"/>
  <c r="AC236" i="5"/>
  <c r="AC237" i="5"/>
  <c r="AC238" i="5"/>
  <c r="AC239" i="5"/>
  <c r="AD239" i="5" s="1"/>
  <c r="AC240" i="5"/>
  <c r="AC241" i="5"/>
  <c r="AC242" i="5"/>
  <c r="AE242" i="5" s="1"/>
  <c r="AC243" i="5"/>
  <c r="AD243" i="5" s="1"/>
  <c r="AC244" i="5"/>
  <c r="AC245" i="5"/>
  <c r="AD245" i="5" s="1"/>
  <c r="AC246" i="5"/>
  <c r="AC247" i="5"/>
  <c r="AE247" i="5" s="1"/>
  <c r="AC248" i="5"/>
  <c r="AC249" i="5"/>
  <c r="AC250" i="5"/>
  <c r="AD250" i="5" s="1"/>
  <c r="AC251" i="5"/>
  <c r="AD251" i="5" s="1"/>
  <c r="AC252" i="5"/>
  <c r="AC253" i="5"/>
  <c r="AC254" i="5"/>
  <c r="AC255" i="5"/>
  <c r="AE255" i="5" s="1"/>
  <c r="AC256" i="5"/>
  <c r="AE256" i="5" s="1"/>
  <c r="AC257" i="5"/>
  <c r="AC258" i="5"/>
  <c r="AD258" i="5" s="1"/>
  <c r="AC259" i="5"/>
  <c r="AE259" i="5" s="1"/>
  <c r="AC260" i="5"/>
  <c r="AC261" i="5"/>
  <c r="AD261" i="5" s="1"/>
  <c r="AC262" i="5"/>
  <c r="AC263" i="5"/>
  <c r="AE263" i="5" s="1"/>
  <c r="AC264" i="5"/>
  <c r="AC265" i="5"/>
  <c r="AC266" i="5"/>
  <c r="AD266" i="5" s="1"/>
  <c r="AC267" i="5"/>
  <c r="AD267" i="5" s="1"/>
  <c r="AC268" i="5"/>
  <c r="AC269" i="5"/>
  <c r="AD269" i="5" s="1"/>
  <c r="AC270" i="5"/>
  <c r="AC271" i="5"/>
  <c r="AD271" i="5" s="1"/>
  <c r="AC272" i="5"/>
  <c r="AC273" i="5"/>
  <c r="AC274" i="5"/>
  <c r="AD274" i="5" s="1"/>
  <c r="AC275" i="5"/>
  <c r="AD275" i="5" s="1"/>
  <c r="AC276" i="5"/>
  <c r="AC277" i="5"/>
  <c r="AD277" i="5" s="1"/>
  <c r="AC278" i="5"/>
  <c r="AC279" i="5"/>
  <c r="AE279" i="5" s="1"/>
  <c r="AC280" i="5"/>
  <c r="AD280" i="5" s="1"/>
  <c r="AC281" i="5"/>
  <c r="AC282" i="5"/>
  <c r="AE282" i="5" s="1"/>
  <c r="AC283" i="5"/>
  <c r="AD283" i="5" s="1"/>
  <c r="AC284" i="5"/>
  <c r="AC285" i="5"/>
  <c r="AD285" i="5" s="1"/>
  <c r="AC286" i="5"/>
  <c r="AC287" i="5"/>
  <c r="AE287" i="5" s="1"/>
  <c r="AC288" i="5"/>
  <c r="AE288" i="5" s="1"/>
  <c r="AC289" i="5"/>
  <c r="AC290" i="5"/>
  <c r="AD290" i="5" s="1"/>
  <c r="AC291" i="5"/>
  <c r="AD291" i="5" s="1"/>
  <c r="AC292" i="5"/>
  <c r="AC293" i="5"/>
  <c r="AD293" i="5" s="1"/>
  <c r="AC294" i="5"/>
  <c r="AC295" i="5"/>
  <c r="AE295" i="5" s="1"/>
  <c r="AC296" i="5"/>
  <c r="AC297" i="5"/>
  <c r="AC298" i="5"/>
  <c r="AD298" i="5" s="1"/>
  <c r="AC299" i="5"/>
  <c r="AD299" i="5" s="1"/>
  <c r="AC300" i="5"/>
  <c r="AC301" i="5"/>
  <c r="AC302" i="5"/>
  <c r="AC303" i="5"/>
  <c r="AD303" i="5" s="1"/>
  <c r="AC304" i="5"/>
  <c r="AD304" i="5" s="1"/>
  <c r="AC305" i="5"/>
  <c r="AC306" i="5"/>
  <c r="AD306" i="5" s="1"/>
  <c r="AC307" i="5"/>
  <c r="AE307" i="5" s="1"/>
  <c r="AC308" i="5"/>
  <c r="AC309" i="5"/>
  <c r="AC310" i="5"/>
  <c r="AC311" i="5"/>
  <c r="AE311" i="5" s="1"/>
  <c r="AC312" i="5"/>
  <c r="AE312" i="5" s="1"/>
  <c r="AC313" i="5"/>
  <c r="AC314" i="5"/>
  <c r="AD314" i="5" s="1"/>
  <c r="AC315" i="5"/>
  <c r="AE315" i="5" s="1"/>
  <c r="AC316" i="5"/>
  <c r="AC317" i="5"/>
  <c r="AC318" i="5"/>
  <c r="AC319" i="5"/>
  <c r="AD319" i="5" s="1"/>
  <c r="AC320" i="5"/>
  <c r="AC321" i="5"/>
  <c r="AC322" i="5"/>
  <c r="AD322" i="5" s="1"/>
  <c r="AC323" i="5"/>
  <c r="AE323" i="5" s="1"/>
  <c r="AC324" i="5"/>
  <c r="AC325" i="5"/>
  <c r="AC326" i="5"/>
  <c r="AC327" i="5"/>
  <c r="AD327" i="5" s="1"/>
  <c r="AC328" i="5"/>
  <c r="AD328" i="5" s="1"/>
  <c r="AC329" i="5"/>
  <c r="AC330" i="5"/>
  <c r="AD330" i="5" s="1"/>
  <c r="AC331" i="5"/>
  <c r="AE331" i="5" s="1"/>
  <c r="AC332" i="5"/>
  <c r="AC333" i="5"/>
  <c r="AC334" i="5"/>
  <c r="AC335" i="5"/>
  <c r="AD335" i="5" s="1"/>
  <c r="AC336" i="5"/>
  <c r="AE336" i="5" s="1"/>
  <c r="AC337" i="5"/>
  <c r="AC338" i="5"/>
  <c r="AD338" i="5" s="1"/>
  <c r="AC339" i="5"/>
  <c r="AE339" i="5" s="1"/>
  <c r="AC340" i="5"/>
  <c r="AC341" i="5"/>
  <c r="AE341" i="5" s="1"/>
  <c r="AC342" i="5"/>
  <c r="AC343" i="5"/>
  <c r="AD343" i="5" s="1"/>
  <c r="AC344" i="5"/>
  <c r="AD344" i="5" s="1"/>
  <c r="AC345" i="5"/>
  <c r="AC346" i="5"/>
  <c r="AE346" i="5" s="1"/>
  <c r="AC347" i="5"/>
  <c r="AD347" i="5" s="1"/>
  <c r="AC348" i="5"/>
  <c r="AC349" i="5"/>
  <c r="AC350" i="5"/>
  <c r="AC351" i="5"/>
  <c r="AE351" i="5" s="1"/>
  <c r="AC352" i="5"/>
  <c r="AC353" i="5"/>
  <c r="AC354" i="5"/>
  <c r="AD354" i="5" s="1"/>
  <c r="AC355" i="5"/>
  <c r="AE355" i="5" s="1"/>
  <c r="AC356" i="5"/>
  <c r="AC357" i="5"/>
  <c r="AE357" i="5" s="1"/>
  <c r="AC358" i="5"/>
  <c r="AC359" i="5"/>
  <c r="AD359" i="5" s="1"/>
  <c r="AC360" i="5"/>
  <c r="AE360" i="5" s="1"/>
  <c r="AC361" i="5"/>
  <c r="AD361" i="5" s="1"/>
  <c r="AC362" i="5"/>
  <c r="AD362" i="5" s="1"/>
  <c r="AC363" i="5"/>
  <c r="AD363" i="5" s="1"/>
  <c r="AC364" i="5"/>
  <c r="AC365" i="5"/>
  <c r="AD365" i="5" s="1"/>
  <c r="AC366" i="5"/>
  <c r="AC367" i="5"/>
  <c r="AD367" i="5" s="1"/>
  <c r="AC368" i="5"/>
  <c r="AE368" i="5" s="1"/>
  <c r="AC369" i="5"/>
  <c r="AD369" i="5" s="1"/>
  <c r="AC370" i="5"/>
  <c r="AE370" i="5" s="1"/>
  <c r="AC371" i="5"/>
  <c r="AD371" i="5" s="1"/>
  <c r="AC372" i="5"/>
  <c r="AC373" i="5"/>
  <c r="AD373" i="5" s="1"/>
  <c r="AC374" i="5"/>
  <c r="AC375" i="5"/>
  <c r="AD375" i="5" s="1"/>
  <c r="AC376" i="5"/>
  <c r="AD376" i="5" s="1"/>
  <c r="AC377" i="5"/>
  <c r="AD377" i="5" s="1"/>
  <c r="AC378" i="5"/>
  <c r="AD378" i="5" s="1"/>
  <c r="AC379" i="5"/>
  <c r="AD379" i="5" s="1"/>
  <c r="AC380" i="5"/>
  <c r="AC381" i="5"/>
  <c r="AE381" i="5" s="1"/>
  <c r="AC382" i="5"/>
  <c r="AC383" i="5"/>
  <c r="AD383" i="5" s="1"/>
  <c r="AC384" i="5"/>
  <c r="AD384" i="5" s="1"/>
  <c r="AC385" i="5"/>
  <c r="AD385" i="5" s="1"/>
  <c r="AC386" i="5"/>
  <c r="AD386" i="5" s="1"/>
  <c r="AC387" i="5"/>
  <c r="AE387" i="5" s="1"/>
  <c r="AC388" i="5"/>
  <c r="AC389" i="5"/>
  <c r="AD389" i="5" s="1"/>
  <c r="AC390" i="5"/>
  <c r="AC391" i="5"/>
  <c r="AD391" i="5" s="1"/>
  <c r="AC392" i="5"/>
  <c r="AD392" i="5" s="1"/>
  <c r="AC393" i="5"/>
  <c r="AD393" i="5" s="1"/>
  <c r="AC394" i="5"/>
  <c r="AD394" i="5" s="1"/>
  <c r="AC395" i="5"/>
  <c r="AD395" i="5" s="1"/>
  <c r="AC396" i="5"/>
  <c r="AC397" i="5"/>
  <c r="AD397" i="5" s="1"/>
  <c r="AC398" i="5"/>
  <c r="AC399" i="5"/>
  <c r="AE399" i="5" s="1"/>
  <c r="AC400" i="5"/>
  <c r="AD400" i="5" s="1"/>
  <c r="AC401" i="5"/>
  <c r="AD401" i="5" s="1"/>
  <c r="AC402" i="5"/>
  <c r="AD402" i="5" s="1"/>
  <c r="AC403" i="5"/>
  <c r="AE403" i="5" s="1"/>
  <c r="AC404" i="5"/>
  <c r="AC405" i="5"/>
  <c r="AE405" i="5" s="1"/>
  <c r="AC406" i="5"/>
  <c r="AC407" i="5"/>
  <c r="AD407" i="5" s="1"/>
  <c r="AC408" i="5"/>
  <c r="AD408" i="5" s="1"/>
  <c r="AC409" i="5"/>
  <c r="AD409" i="5" s="1"/>
  <c r="AC410" i="5"/>
  <c r="AD410" i="5" s="1"/>
  <c r="AC411" i="5"/>
  <c r="AD411" i="5" s="1"/>
  <c r="AC412" i="5"/>
  <c r="AC413" i="5"/>
  <c r="AE413" i="5" s="1"/>
  <c r="AC414" i="5"/>
  <c r="AC415" i="5"/>
  <c r="AE415" i="5" s="1"/>
  <c r="AC416" i="5"/>
  <c r="AD416" i="5" s="1"/>
  <c r="AC417" i="5"/>
  <c r="AD417" i="5" s="1"/>
  <c r="AC418" i="5"/>
  <c r="AD418" i="5" s="1"/>
  <c r="AC419" i="5"/>
  <c r="AD419" i="5" s="1"/>
  <c r="AC420" i="5"/>
  <c r="AC421" i="5"/>
  <c r="AE421" i="5" s="1"/>
  <c r="AC422" i="5"/>
  <c r="AC423" i="5"/>
  <c r="AE423" i="5" s="1"/>
  <c r="AC424" i="5"/>
  <c r="AC425" i="5"/>
  <c r="AD425" i="5" s="1"/>
  <c r="AC426" i="5"/>
  <c r="AD426" i="5" s="1"/>
  <c r="AC427" i="5"/>
  <c r="AD427" i="5" s="1"/>
  <c r="AC428" i="5"/>
  <c r="AC429" i="5"/>
  <c r="AD429" i="5" s="1"/>
  <c r="AC430" i="5"/>
  <c r="AC431" i="5"/>
  <c r="AD431" i="5" s="1"/>
  <c r="AC432" i="5"/>
  <c r="AC433" i="5"/>
  <c r="AD433" i="5" s="1"/>
  <c r="AC434" i="5"/>
  <c r="AD434" i="5" s="1"/>
  <c r="AC435" i="5"/>
  <c r="AD435" i="5" s="1"/>
  <c r="AC436" i="5"/>
  <c r="AC437" i="5"/>
  <c r="AE437" i="5" s="1"/>
  <c r="AC438" i="5"/>
  <c r="AC439" i="5"/>
  <c r="AD439" i="5" s="1"/>
  <c r="AC440" i="5"/>
  <c r="AC441" i="5"/>
  <c r="AD441" i="5" s="1"/>
  <c r="AC442" i="5"/>
  <c r="AE442" i="5" s="1"/>
  <c r="AC443" i="5"/>
  <c r="AD443" i="5" s="1"/>
  <c r="AC444" i="5"/>
  <c r="AC445" i="5"/>
  <c r="AD445" i="5" s="1"/>
  <c r="AC446" i="5"/>
  <c r="AC447" i="5"/>
  <c r="AE447" i="5" s="1"/>
  <c r="AC448" i="5"/>
  <c r="AE448" i="5" s="1"/>
  <c r="AC449" i="5"/>
  <c r="AD449" i="5" s="1"/>
  <c r="AC450" i="5"/>
  <c r="AE450" i="5" s="1"/>
  <c r="AC451" i="5"/>
  <c r="AE451" i="5" s="1"/>
  <c r="AC452" i="5"/>
  <c r="AC453" i="5"/>
  <c r="AD453" i="5" s="1"/>
  <c r="AC454" i="5"/>
  <c r="AC455" i="5"/>
  <c r="AD455" i="5" s="1"/>
  <c r="AC456" i="5"/>
  <c r="AE456" i="5" s="1"/>
  <c r="AC457" i="5"/>
  <c r="AD457" i="5" s="1"/>
  <c r="AC458" i="5"/>
  <c r="AE458" i="5" s="1"/>
  <c r="AC459" i="5"/>
  <c r="AD459" i="5" s="1"/>
  <c r="AC460" i="5"/>
  <c r="AC461" i="5"/>
  <c r="AD461" i="5" s="1"/>
  <c r="AC462" i="5"/>
  <c r="AC463" i="5"/>
  <c r="AD463" i="5" s="1"/>
  <c r="AC464" i="5"/>
  <c r="AD464" i="5" s="1"/>
  <c r="AC465" i="5"/>
  <c r="AD465" i="5" s="1"/>
  <c r="AC466" i="5"/>
  <c r="AD466" i="5" s="1"/>
  <c r="AC467" i="5"/>
  <c r="AE467" i="5" s="1"/>
  <c r="AC468" i="5"/>
  <c r="AC469" i="5"/>
  <c r="AD469" i="5" s="1"/>
  <c r="AC470" i="5"/>
  <c r="AC471" i="5"/>
  <c r="AE471" i="5" s="1"/>
  <c r="AC472" i="5"/>
  <c r="AD472" i="5" s="1"/>
  <c r="AC473" i="5"/>
  <c r="AD473" i="5" s="1"/>
  <c r="AC474" i="5"/>
  <c r="AE474" i="5" s="1"/>
  <c r="AC475" i="5"/>
  <c r="AD475" i="5" s="1"/>
  <c r="AC476" i="5"/>
  <c r="AC477" i="5"/>
  <c r="AE477" i="5" s="1"/>
  <c r="AC478" i="5"/>
  <c r="AC479" i="5"/>
  <c r="AD479" i="5" s="1"/>
  <c r="AC480" i="5"/>
  <c r="AD480" i="5" s="1"/>
  <c r="AC481" i="5"/>
  <c r="AD481" i="5" s="1"/>
  <c r="AC482" i="5"/>
  <c r="AD482" i="5" s="1"/>
  <c r="AC483" i="5"/>
  <c r="AD483" i="5" s="1"/>
  <c r="AC484" i="5"/>
  <c r="AC485" i="5"/>
  <c r="AD485" i="5" s="1"/>
  <c r="AC486" i="5"/>
  <c r="AC487" i="5"/>
  <c r="AE487" i="5" s="1"/>
  <c r="AC488" i="5"/>
  <c r="AE488" i="5" s="1"/>
  <c r="AC489" i="5"/>
  <c r="AD489" i="5" s="1"/>
  <c r="AC490" i="5"/>
  <c r="AD490" i="5" s="1"/>
  <c r="AC491" i="5"/>
  <c r="AE491" i="5" s="1"/>
  <c r="AC492" i="5"/>
  <c r="AC493" i="5"/>
  <c r="AE493" i="5" s="1"/>
  <c r="AC494" i="5"/>
  <c r="AC495" i="5"/>
  <c r="AD495" i="5" s="1"/>
  <c r="AC496" i="5"/>
  <c r="AE496" i="5" s="1"/>
  <c r="AC497" i="5"/>
  <c r="AD497" i="5" s="1"/>
  <c r="AC498" i="5"/>
  <c r="AE498" i="5" s="1"/>
  <c r="AC499" i="5"/>
  <c r="AD499" i="5" s="1"/>
  <c r="AC500" i="5"/>
  <c r="AC501" i="5"/>
  <c r="AE501" i="5" s="1"/>
  <c r="AC502" i="5"/>
  <c r="AC503" i="5"/>
  <c r="AD503" i="5" s="1"/>
  <c r="AC504" i="5"/>
  <c r="AE504" i="5" s="1"/>
  <c r="AC505" i="5"/>
  <c r="AD505" i="5" s="1"/>
  <c r="AC506" i="5"/>
  <c r="AD506" i="5" s="1"/>
  <c r="AC507" i="5"/>
  <c r="AE507" i="5" s="1"/>
  <c r="AC508" i="5"/>
  <c r="AC509" i="5"/>
  <c r="AD509" i="5" s="1"/>
  <c r="AC510" i="5"/>
  <c r="AC511" i="5"/>
  <c r="AE511" i="5" s="1"/>
  <c r="AC512" i="5"/>
  <c r="AE512" i="5" s="1"/>
  <c r="AC513" i="5"/>
  <c r="AD513" i="5" s="1"/>
  <c r="AC514" i="5"/>
  <c r="AD514" i="5" s="1"/>
  <c r="AC515" i="5"/>
  <c r="AD515" i="5" s="1"/>
  <c r="AC516" i="5"/>
  <c r="AC517" i="5"/>
  <c r="AD517" i="5" s="1"/>
  <c r="AC518" i="5"/>
  <c r="AE518" i="5" s="1"/>
  <c r="AC519" i="5"/>
  <c r="AD519" i="5" s="1"/>
  <c r="AC520" i="5"/>
  <c r="AC521" i="5"/>
  <c r="AD521" i="5" s="1"/>
  <c r="AC522" i="5"/>
  <c r="AD522" i="5" s="1"/>
  <c r="AC523" i="5"/>
  <c r="AD523" i="5" s="1"/>
  <c r="AC524" i="5"/>
  <c r="AC525" i="5"/>
  <c r="AE525" i="5" s="1"/>
  <c r="AC526" i="5"/>
  <c r="AE526" i="5" s="1"/>
  <c r="AC527" i="5"/>
  <c r="AD527" i="5" s="1"/>
  <c r="AC528" i="5"/>
  <c r="AD528" i="5" s="1"/>
  <c r="AC529" i="5"/>
  <c r="AD529" i="5" s="1"/>
  <c r="AC530" i="5"/>
  <c r="AE530" i="5" s="1"/>
  <c r="AC531" i="5"/>
  <c r="AD531" i="5" s="1"/>
  <c r="AC532" i="5"/>
  <c r="AD532" i="5" s="1"/>
  <c r="AC533" i="5"/>
  <c r="AE533" i="5" s="1"/>
  <c r="AC534" i="5"/>
  <c r="AC535" i="5"/>
  <c r="AD535" i="5" s="1"/>
  <c r="AC536" i="5"/>
  <c r="AD536" i="5" s="1"/>
  <c r="AC537" i="5"/>
  <c r="AD537" i="5" s="1"/>
  <c r="AC538" i="5"/>
  <c r="AD538" i="5" s="1"/>
  <c r="AC539" i="5"/>
  <c r="AD539" i="5" s="1"/>
  <c r="AC540" i="5"/>
  <c r="AE540" i="5" s="1"/>
  <c r="AC541" i="5"/>
  <c r="AE541" i="5" s="1"/>
  <c r="AC542" i="5"/>
  <c r="AE542" i="5" s="1"/>
  <c r="AC543" i="5"/>
  <c r="AD543" i="5" s="1"/>
  <c r="AC544" i="5"/>
  <c r="AE544" i="5" s="1"/>
  <c r="AC545" i="5"/>
  <c r="AD545" i="5" s="1"/>
  <c r="AC546" i="5"/>
  <c r="AD546" i="5" s="1"/>
  <c r="AC547" i="5"/>
  <c r="AD547" i="5" s="1"/>
  <c r="AC548" i="5"/>
  <c r="AD548" i="5" s="1"/>
  <c r="AC549" i="5"/>
  <c r="AD549" i="5" s="1"/>
  <c r="AC550" i="5"/>
  <c r="AE550" i="5" s="1"/>
  <c r="AC551" i="5"/>
  <c r="AE551" i="5" s="1"/>
  <c r="AC552" i="5"/>
  <c r="AD552" i="5" s="1"/>
  <c r="AC553" i="5"/>
  <c r="AD553" i="5" s="1"/>
  <c r="AC554" i="5"/>
  <c r="AD554" i="5" s="1"/>
  <c r="AC555" i="5"/>
  <c r="AD555" i="5" s="1"/>
  <c r="AC556" i="5"/>
  <c r="AD556" i="5" s="1"/>
  <c r="AC557" i="5"/>
  <c r="AD557" i="5" s="1"/>
  <c r="AC558" i="5"/>
  <c r="AE558" i="5" s="1"/>
  <c r="AC559" i="5"/>
  <c r="AE559" i="5" s="1"/>
  <c r="AC560" i="5"/>
  <c r="AC19" i="5"/>
  <c r="AE19" i="5" s="1"/>
  <c r="AE30" i="5"/>
  <c r="AD36" i="5"/>
  <c r="AD38" i="5"/>
  <c r="AE46" i="5"/>
  <c r="AD52" i="5"/>
  <c r="AD54" i="5"/>
  <c r="AE62" i="5"/>
  <c r="AD68" i="5"/>
  <c r="AD70" i="5"/>
  <c r="AE78" i="5"/>
  <c r="AD84" i="5"/>
  <c r="AD86" i="5"/>
  <c r="AE94" i="5"/>
  <c r="AD100" i="5"/>
  <c r="AD102" i="5"/>
  <c r="AE110" i="5"/>
  <c r="AD116" i="5"/>
  <c r="AE118" i="5"/>
  <c r="AE126" i="5"/>
  <c r="AD132" i="5"/>
  <c r="AE134" i="5"/>
  <c r="AE142" i="5"/>
  <c r="AD148" i="5"/>
  <c r="AE150" i="5"/>
  <c r="AE158" i="5"/>
  <c r="AD164" i="5"/>
  <c r="AE166" i="5"/>
  <c r="AE174" i="5"/>
  <c r="AD180" i="5"/>
  <c r="AE182" i="5"/>
  <c r="AE190" i="5"/>
  <c r="AD196" i="5"/>
  <c r="AE198" i="5"/>
  <c r="AE206" i="5"/>
  <c r="AD212" i="5"/>
  <c r="AE214" i="5"/>
  <c r="AE222" i="5"/>
  <c r="AD228" i="5"/>
  <c r="AE230" i="5"/>
  <c r="AE238" i="5"/>
  <c r="AD244" i="5"/>
  <c r="AE246" i="5"/>
  <c r="AE254" i="5"/>
  <c r="AD260" i="5"/>
  <c r="AE262" i="5"/>
  <c r="AE270" i="5"/>
  <c r="AD276" i="5"/>
  <c r="AE278" i="5"/>
  <c r="AE286" i="5"/>
  <c r="AD292" i="5"/>
  <c r="AE294" i="5"/>
  <c r="AE302" i="5"/>
  <c r="AD308" i="5"/>
  <c r="AE310" i="5"/>
  <c r="AE318" i="5"/>
  <c r="AD324" i="5"/>
  <c r="AE326" i="5"/>
  <c r="AD332" i="5"/>
  <c r="AE334" i="5"/>
  <c r="AD340" i="5"/>
  <c r="AE342" i="5"/>
  <c r="AD348" i="5"/>
  <c r="AE350" i="5"/>
  <c r="AD356" i="5"/>
  <c r="AE358" i="5"/>
  <c r="AD364" i="5"/>
  <c r="AE366" i="5"/>
  <c r="AD372" i="5"/>
  <c r="AD374" i="5"/>
  <c r="AE382" i="5"/>
  <c r="AE390" i="5"/>
  <c r="AD396" i="5"/>
  <c r="AE398" i="5"/>
  <c r="AD404" i="5"/>
  <c r="AD406" i="5"/>
  <c r="AE414" i="5"/>
  <c r="AE422" i="5"/>
  <c r="AD428" i="5"/>
  <c r="AE430" i="5"/>
  <c r="AD436" i="5"/>
  <c r="AD438" i="5"/>
  <c r="AE446" i="5"/>
  <c r="AE454" i="5"/>
  <c r="AD460" i="5"/>
  <c r="AD462" i="5"/>
  <c r="AD468" i="5"/>
  <c r="AE470" i="5"/>
  <c r="AD476" i="5"/>
  <c r="AE478" i="5"/>
  <c r="AD484" i="5"/>
  <c r="AD486" i="5"/>
  <c r="AE492" i="5"/>
  <c r="AE494" i="5"/>
  <c r="AD500" i="5"/>
  <c r="AE502" i="5"/>
  <c r="AE508" i="5"/>
  <c r="AE510" i="5"/>
  <c r="AD516" i="5"/>
  <c r="AD524" i="5"/>
  <c r="AD534" i="5"/>
  <c r="AD20" i="5"/>
  <c r="AD21" i="5"/>
  <c r="AE22" i="5"/>
  <c r="AD22" i="5"/>
  <c r="AD23" i="5"/>
  <c r="AD24" i="5"/>
  <c r="AE24" i="5"/>
  <c r="AD28" i="5"/>
  <c r="AD29" i="5"/>
  <c r="AD31" i="5"/>
  <c r="AD32" i="5"/>
  <c r="AE32" i="5"/>
  <c r="AE38" i="5"/>
  <c r="AE39" i="5"/>
  <c r="AD40" i="5"/>
  <c r="AE40" i="5"/>
  <c r="AD44" i="5"/>
  <c r="AE47" i="5"/>
  <c r="AD48" i="5"/>
  <c r="AE48" i="5"/>
  <c r="AE54" i="5"/>
  <c r="AD56" i="5"/>
  <c r="AE56" i="5"/>
  <c r="AD60" i="5"/>
  <c r="AE63" i="5"/>
  <c r="AD64" i="5"/>
  <c r="AE64" i="5"/>
  <c r="AD69" i="5"/>
  <c r="AE70" i="5"/>
  <c r="AE71" i="5"/>
  <c r="AD72" i="5"/>
  <c r="AE72" i="5"/>
  <c r="AD76" i="5"/>
  <c r="AE79" i="5"/>
  <c r="AD80" i="5"/>
  <c r="AE80" i="5"/>
  <c r="AE86" i="5"/>
  <c r="AD88" i="5"/>
  <c r="AE88" i="5"/>
  <c r="AD92" i="5"/>
  <c r="AD96" i="5"/>
  <c r="AE96" i="5"/>
  <c r="AE102" i="5"/>
  <c r="AE103" i="5"/>
  <c r="AD104" i="5"/>
  <c r="AE104" i="5"/>
  <c r="AD108" i="5"/>
  <c r="AD109" i="5"/>
  <c r="AE111" i="5"/>
  <c r="AD112" i="5"/>
  <c r="AE112" i="5"/>
  <c r="AD120" i="5"/>
  <c r="AE120" i="5"/>
  <c r="AD124" i="5"/>
  <c r="AD125" i="5"/>
  <c r="AD128" i="5"/>
  <c r="AE128" i="5"/>
  <c r="AE135" i="5"/>
  <c r="AD136" i="5"/>
  <c r="AE136" i="5"/>
  <c r="AD140" i="5"/>
  <c r="AD141" i="5"/>
  <c r="AE143" i="5"/>
  <c r="AD144" i="5"/>
  <c r="AE144" i="5"/>
  <c r="AD152" i="5"/>
  <c r="AE152" i="5"/>
  <c r="AD156" i="5"/>
  <c r="AD157" i="5"/>
  <c r="AD160" i="5"/>
  <c r="AE160" i="5"/>
  <c r="AD167" i="5"/>
  <c r="AD168" i="5"/>
  <c r="AE168" i="5"/>
  <c r="AD172" i="5"/>
  <c r="AD173" i="5"/>
  <c r="AD175" i="5"/>
  <c r="AD176" i="5"/>
  <c r="AE176" i="5"/>
  <c r="AD184" i="5"/>
  <c r="AE184" i="5"/>
  <c r="AD188" i="5"/>
  <c r="AD189" i="5"/>
  <c r="AD192" i="5"/>
  <c r="AE192" i="5"/>
  <c r="AD199" i="5"/>
  <c r="AD200" i="5"/>
  <c r="AE200" i="5"/>
  <c r="AD204" i="5"/>
  <c r="AD205" i="5"/>
  <c r="AD207" i="5"/>
  <c r="AD208" i="5"/>
  <c r="AE208" i="5"/>
  <c r="AD216" i="5"/>
  <c r="AE216" i="5"/>
  <c r="AD220" i="5"/>
  <c r="AD221" i="5"/>
  <c r="AD224" i="5"/>
  <c r="AE224" i="5"/>
  <c r="AE231" i="5"/>
  <c r="AD232" i="5"/>
  <c r="AE232" i="5"/>
  <c r="AD236" i="5"/>
  <c r="AD237" i="5"/>
  <c r="AE239" i="5"/>
  <c r="AD240" i="5"/>
  <c r="AE240" i="5"/>
  <c r="AD248" i="5"/>
  <c r="AE248" i="5"/>
  <c r="AD252" i="5"/>
  <c r="AD253" i="5"/>
  <c r="AD256" i="5"/>
  <c r="AD263" i="5"/>
  <c r="AD264" i="5"/>
  <c r="AE264" i="5"/>
  <c r="AD268" i="5"/>
  <c r="AD272" i="5"/>
  <c r="AE272" i="5"/>
  <c r="AD284" i="5"/>
  <c r="AD287" i="5"/>
  <c r="AD288" i="5"/>
  <c r="AD296" i="5"/>
  <c r="AE296" i="5"/>
  <c r="AD300" i="5"/>
  <c r="AE303" i="5"/>
  <c r="AE304" i="5"/>
  <c r="AD312" i="5"/>
  <c r="AD316" i="5"/>
  <c r="AD318" i="5"/>
  <c r="AE319" i="5"/>
  <c r="AD320" i="5"/>
  <c r="AE320" i="5"/>
  <c r="AE328" i="5"/>
  <c r="AE335" i="5"/>
  <c r="AD336" i="5"/>
  <c r="AE344" i="5"/>
  <c r="AD349" i="5"/>
  <c r="AD351" i="5"/>
  <c r="AD352" i="5"/>
  <c r="AE356" i="5"/>
  <c r="AE359" i="5"/>
  <c r="AD360" i="5"/>
  <c r="AE365" i="5"/>
  <c r="AD366" i="5"/>
  <c r="AE367" i="5"/>
  <c r="AD368" i="5"/>
  <c r="AE376" i="5"/>
  <c r="AD380" i="5"/>
  <c r="AE384" i="5"/>
  <c r="AD388" i="5"/>
  <c r="AE391" i="5"/>
  <c r="AE397" i="5"/>
  <c r="AD398" i="5"/>
  <c r="AE408" i="5"/>
  <c r="AD412" i="5"/>
  <c r="AD413" i="5"/>
  <c r="AD415" i="5"/>
  <c r="AD420" i="5"/>
  <c r="AD423" i="5"/>
  <c r="AD424" i="5"/>
  <c r="AE424" i="5"/>
  <c r="AE429" i="5"/>
  <c r="AD430" i="5"/>
  <c r="AE431" i="5"/>
  <c r="AD432" i="5"/>
  <c r="AE432" i="5"/>
  <c r="AD440" i="5"/>
  <c r="AE440" i="5"/>
  <c r="AD444" i="5"/>
  <c r="AD448" i="5"/>
  <c r="AD452" i="5"/>
  <c r="AD456" i="5"/>
  <c r="AE462" i="5"/>
  <c r="AE464" i="5"/>
  <c r="AD470" i="5"/>
  <c r="AE472" i="5"/>
  <c r="AE480" i="5"/>
  <c r="AD488" i="5"/>
  <c r="AD492" i="5"/>
  <c r="AD496" i="5"/>
  <c r="AE500" i="5"/>
  <c r="AD504" i="5"/>
  <c r="AD508" i="5"/>
  <c r="AD512" i="5"/>
  <c r="AE516" i="5"/>
  <c r="AD520" i="5"/>
  <c r="AD526" i="5"/>
  <c r="AE536" i="5"/>
  <c r="AD540" i="5"/>
  <c r="AD544" i="5"/>
  <c r="AE548" i="5"/>
  <c r="AE552" i="5"/>
  <c r="AD560" i="5"/>
  <c r="AE453" i="5" l="1"/>
  <c r="AE389" i="5"/>
  <c r="AE373" i="5"/>
  <c r="AD357" i="5"/>
  <c r="AD437" i="5"/>
  <c r="AD421" i="5"/>
  <c r="AD405" i="5"/>
  <c r="AE445" i="5"/>
  <c r="AD381" i="5"/>
  <c r="AE469" i="5"/>
  <c r="AE106" i="5"/>
  <c r="AD234" i="5"/>
  <c r="AE42" i="5"/>
  <c r="AD146" i="5"/>
  <c r="AE354" i="5"/>
  <c r="AE330" i="5"/>
  <c r="AD186" i="5"/>
  <c r="AD74" i="5"/>
  <c r="AE154" i="5"/>
  <c r="AD530" i="5"/>
  <c r="AE194" i="5"/>
  <c r="AD346" i="5"/>
  <c r="AE274" i="5"/>
  <c r="AD370" i="5"/>
  <c r="AE402" i="5"/>
  <c r="AD226" i="5"/>
  <c r="AE35" i="5"/>
  <c r="AD487" i="5"/>
  <c r="AD471" i="5"/>
  <c r="AD399" i="5"/>
  <c r="AE375" i="5"/>
  <c r="AE343" i="5"/>
  <c r="AE159" i="5"/>
  <c r="AD511" i="5"/>
  <c r="AE439" i="5"/>
  <c r="AE407" i="5"/>
  <c r="AE383" i="5"/>
  <c r="AD311" i="5"/>
  <c r="AD295" i="5"/>
  <c r="AD279" i="5"/>
  <c r="AD255" i="5"/>
  <c r="AE223" i="5"/>
  <c r="AD191" i="5"/>
  <c r="AD127" i="5"/>
  <c r="AE95" i="5"/>
  <c r="AE55" i="5"/>
  <c r="AE495" i="5"/>
  <c r="AE327" i="5"/>
  <c r="AD247" i="5"/>
  <c r="AE183" i="5"/>
  <c r="AD151" i="5"/>
  <c r="AE535" i="5"/>
  <c r="AD551" i="5"/>
  <c r="AD501" i="5"/>
  <c r="AE485" i="5"/>
  <c r="AE461" i="5"/>
  <c r="AD447" i="5"/>
  <c r="AE517" i="5"/>
  <c r="AE271" i="5"/>
  <c r="AE119" i="5"/>
  <c r="AE455" i="5"/>
  <c r="AE215" i="5"/>
  <c r="AE87" i="5"/>
  <c r="AE546" i="5"/>
  <c r="AE509" i="5"/>
  <c r="AD493" i="5"/>
  <c r="AD474" i="5"/>
  <c r="AD458" i="5"/>
  <c r="AD525" i="5"/>
  <c r="AE490" i="5"/>
  <c r="AE506" i="5"/>
  <c r="AD559" i="5"/>
  <c r="AE519" i="5"/>
  <c r="AD442" i="5"/>
  <c r="AE338" i="5"/>
  <c r="AE322" i="5"/>
  <c r="AD282" i="5"/>
  <c r="AE386" i="5"/>
  <c r="AE503" i="5"/>
  <c r="AE479" i="5"/>
  <c r="AE527" i="5"/>
  <c r="AE435" i="5"/>
  <c r="AE543" i="5"/>
  <c r="AE463" i="5"/>
  <c r="AE419" i="5"/>
  <c r="AD403" i="5"/>
  <c r="AD331" i="5"/>
  <c r="AE267" i="5"/>
  <c r="AE523" i="5"/>
  <c r="AD507" i="5"/>
  <c r="AE280" i="5"/>
  <c r="AE99" i="5"/>
  <c r="AE416" i="5"/>
  <c r="AD387" i="5"/>
  <c r="AE549" i="5"/>
  <c r="AD533" i="5"/>
  <c r="AD477" i="5"/>
  <c r="AE400" i="5"/>
  <c r="AE392" i="5"/>
  <c r="AE557" i="5"/>
  <c r="AD541" i="5"/>
  <c r="AE179" i="5"/>
  <c r="AE139" i="5"/>
  <c r="AD187" i="5"/>
  <c r="AD339" i="5"/>
  <c r="AD491" i="5"/>
  <c r="AD323" i="5"/>
  <c r="AD227" i="5"/>
  <c r="AE67" i="5"/>
  <c r="AE555" i="5"/>
  <c r="AE539" i="5"/>
  <c r="AE522" i="5"/>
  <c r="AE483" i="5"/>
  <c r="AD467" i="5"/>
  <c r="AD451" i="5"/>
  <c r="AE434" i="5"/>
  <c r="AE418" i="5"/>
  <c r="AE363" i="5"/>
  <c r="AD315" i="5"/>
  <c r="AD307" i="5"/>
  <c r="AE299" i="5"/>
  <c r="AE266" i="5"/>
  <c r="AD259" i="5"/>
  <c r="AD219" i="5"/>
  <c r="AE211" i="5"/>
  <c r="AD178" i="5"/>
  <c r="AE171" i="5"/>
  <c r="AD138" i="5"/>
  <c r="AD131" i="5"/>
  <c r="AD98" i="5"/>
  <c r="AE91" i="5"/>
  <c r="AD66" i="5"/>
  <c r="AE59" i="5"/>
  <c r="AE34" i="5"/>
  <c r="AE27" i="5"/>
  <c r="AE515" i="5"/>
  <c r="AE499" i="5"/>
  <c r="AE466" i="5"/>
  <c r="AE395" i="5"/>
  <c r="AE379" i="5"/>
  <c r="AE314" i="5"/>
  <c r="AE306" i="5"/>
  <c r="AE291" i="5"/>
  <c r="AE258" i="5"/>
  <c r="AE251" i="5"/>
  <c r="AD218" i="5"/>
  <c r="AE163" i="5"/>
  <c r="AD130" i="5"/>
  <c r="AE123" i="5"/>
  <c r="AE554" i="5"/>
  <c r="AE538" i="5"/>
  <c r="AE482" i="5"/>
  <c r="AD450" i="5"/>
  <c r="AE427" i="5"/>
  <c r="AE411" i="5"/>
  <c r="AE362" i="5"/>
  <c r="AE298" i="5"/>
  <c r="AE243" i="5"/>
  <c r="AD210" i="5"/>
  <c r="AE203" i="5"/>
  <c r="AD170" i="5"/>
  <c r="AE115" i="5"/>
  <c r="AD90" i="5"/>
  <c r="AE83" i="5"/>
  <c r="AE58" i="5"/>
  <c r="AE51" i="5"/>
  <c r="AE26" i="5"/>
  <c r="AE514" i="5"/>
  <c r="AE459" i="5"/>
  <c r="AE394" i="5"/>
  <c r="AE378" i="5"/>
  <c r="AE290" i="5"/>
  <c r="AE283" i="5"/>
  <c r="AE250" i="5"/>
  <c r="AE195" i="5"/>
  <c r="AD162" i="5"/>
  <c r="AE155" i="5"/>
  <c r="AD122" i="5"/>
  <c r="AE531" i="5"/>
  <c r="AE475" i="5"/>
  <c r="AE443" i="5"/>
  <c r="AE547" i="5"/>
  <c r="AD498" i="5"/>
  <c r="AE426" i="5"/>
  <c r="AE410" i="5"/>
  <c r="AE371" i="5"/>
  <c r="AD355" i="5"/>
  <c r="AE347" i="5"/>
  <c r="AE275" i="5"/>
  <c r="AD242" i="5"/>
  <c r="AE235" i="5"/>
  <c r="AD202" i="5"/>
  <c r="AE147" i="5"/>
  <c r="AD114" i="5"/>
  <c r="AE107" i="5"/>
  <c r="AD82" i="5"/>
  <c r="AE75" i="5"/>
  <c r="AE50" i="5"/>
  <c r="AE43" i="5"/>
  <c r="AD478" i="5"/>
  <c r="AD294" i="5"/>
  <c r="AD278" i="5"/>
  <c r="AD262" i="5"/>
  <c r="AD246" i="5"/>
  <c r="AD230" i="5"/>
  <c r="AD214" i="5"/>
  <c r="AD198" i="5"/>
  <c r="AD182" i="5"/>
  <c r="AD166" i="5"/>
  <c r="AD150" i="5"/>
  <c r="AD134" i="5"/>
  <c r="AD118" i="5"/>
  <c r="AD334" i="5"/>
  <c r="AD542" i="5"/>
  <c r="AE486" i="5"/>
  <c r="AE460" i="5"/>
  <c r="AE438" i="5"/>
  <c r="AE406" i="5"/>
  <c r="AE374" i="5"/>
  <c r="AD350" i="5"/>
  <c r="AD310" i="5"/>
  <c r="AE534" i="5"/>
  <c r="AD494" i="5"/>
  <c r="AE524" i="5"/>
  <c r="AE468" i="5"/>
  <c r="AD446" i="5"/>
  <c r="AD414" i="5"/>
  <c r="AD382" i="5"/>
  <c r="AD510" i="5"/>
  <c r="AD222" i="5"/>
  <c r="AD206" i="5"/>
  <c r="AD190" i="5"/>
  <c r="AD174" i="5"/>
  <c r="AD158" i="5"/>
  <c r="AD142" i="5"/>
  <c r="AD126" i="5"/>
  <c r="AD110" i="5"/>
  <c r="AD94" i="5"/>
  <c r="AD78" i="5"/>
  <c r="AD62" i="5"/>
  <c r="AD46" i="5"/>
  <c r="AD30" i="5"/>
  <c r="AD550" i="5"/>
  <c r="AD502" i="5"/>
  <c r="AE476" i="5"/>
  <c r="AD326" i="5"/>
  <c r="AD286" i="5"/>
  <c r="AD270" i="5"/>
  <c r="AD254" i="5"/>
  <c r="AD238" i="5"/>
  <c r="AD558" i="5"/>
  <c r="AE532" i="5"/>
  <c r="AD518" i="5"/>
  <c r="AE484" i="5"/>
  <c r="AD454" i="5"/>
  <c r="AD422" i="5"/>
  <c r="AD390" i="5"/>
  <c r="AD358" i="5"/>
  <c r="AD302" i="5"/>
  <c r="AD19" i="5"/>
  <c r="AD41" i="5"/>
  <c r="AE41" i="5"/>
  <c r="AE520" i="5"/>
  <c r="AD289" i="5"/>
  <c r="AE289" i="5"/>
  <c r="AD201" i="5"/>
  <c r="AE201" i="5"/>
  <c r="AD137" i="5"/>
  <c r="AE137" i="5"/>
  <c r="AD73" i="5"/>
  <c r="AE73" i="5"/>
  <c r="AD129" i="5"/>
  <c r="AE129" i="5"/>
  <c r="AD33" i="5"/>
  <c r="AE33" i="5"/>
  <c r="AE560" i="5"/>
  <c r="AE528" i="5"/>
  <c r="AD301" i="5"/>
  <c r="AE301" i="5"/>
  <c r="AD297" i="5"/>
  <c r="AE297" i="5"/>
  <c r="AD209" i="5"/>
  <c r="AE209" i="5"/>
  <c r="AD145" i="5"/>
  <c r="AE145" i="5"/>
  <c r="AD81" i="5"/>
  <c r="AE81" i="5"/>
  <c r="AD193" i="5"/>
  <c r="AE193" i="5"/>
  <c r="AD57" i="5"/>
  <c r="AE57" i="5"/>
  <c r="AD309" i="5"/>
  <c r="AE309" i="5"/>
  <c r="AD305" i="5"/>
  <c r="AE305" i="5"/>
  <c r="AD217" i="5"/>
  <c r="AE217" i="5"/>
  <c r="AD153" i="5"/>
  <c r="AE153" i="5"/>
  <c r="AD89" i="5"/>
  <c r="AE89" i="5"/>
  <c r="AD65" i="5"/>
  <c r="AE65" i="5"/>
  <c r="AD342" i="5"/>
  <c r="AD317" i="5"/>
  <c r="AE317" i="5"/>
  <c r="AD313" i="5"/>
  <c r="AE313" i="5"/>
  <c r="AD225" i="5"/>
  <c r="AE225" i="5"/>
  <c r="AD161" i="5"/>
  <c r="AE161" i="5"/>
  <c r="AD97" i="5"/>
  <c r="AE97" i="5"/>
  <c r="AE452" i="5"/>
  <c r="AE444" i="5"/>
  <c r="AE436" i="5"/>
  <c r="AE428" i="5"/>
  <c r="AE420" i="5"/>
  <c r="AE412" i="5"/>
  <c r="AE404" i="5"/>
  <c r="AE396" i="5"/>
  <c r="AE388" i="5"/>
  <c r="AE380" i="5"/>
  <c r="AE372" i="5"/>
  <c r="AE364" i="5"/>
  <c r="AD353" i="5"/>
  <c r="AE353" i="5"/>
  <c r="AE349" i="5"/>
  <c r="AD325" i="5"/>
  <c r="AE325" i="5"/>
  <c r="AD321" i="5"/>
  <c r="AE321" i="5"/>
  <c r="AD233" i="5"/>
  <c r="AE233" i="5"/>
  <c r="AD169" i="5"/>
  <c r="AE169" i="5"/>
  <c r="AD105" i="5"/>
  <c r="AE105" i="5"/>
  <c r="AD281" i="5"/>
  <c r="AE281" i="5"/>
  <c r="AD49" i="5"/>
  <c r="AE49" i="5"/>
  <c r="AE556" i="5"/>
  <c r="AE553" i="5"/>
  <c r="AE545" i="5"/>
  <c r="AE537" i="5"/>
  <c r="AE529" i="5"/>
  <c r="AE521" i="5"/>
  <c r="AE513" i="5"/>
  <c r="AE505" i="5"/>
  <c r="AE497" i="5"/>
  <c r="AE489" i="5"/>
  <c r="AE481" i="5"/>
  <c r="AE473" i="5"/>
  <c r="AE465" i="5"/>
  <c r="AE457" i="5"/>
  <c r="AE449" i="5"/>
  <c r="AE441" i="5"/>
  <c r="AE433" i="5"/>
  <c r="AE425" i="5"/>
  <c r="AE417" i="5"/>
  <c r="AE409" i="5"/>
  <c r="AE401" i="5"/>
  <c r="AE393" i="5"/>
  <c r="AE385" i="5"/>
  <c r="AE377" i="5"/>
  <c r="AE369" i="5"/>
  <c r="AE361" i="5"/>
  <c r="AE352" i="5"/>
  <c r="AD341" i="5"/>
  <c r="AD333" i="5"/>
  <c r="AE333" i="5"/>
  <c r="AD329" i="5"/>
  <c r="AE329" i="5"/>
  <c r="AD241" i="5"/>
  <c r="AE241" i="5"/>
  <c r="AD177" i="5"/>
  <c r="AE177" i="5"/>
  <c r="AD113" i="5"/>
  <c r="AE113" i="5"/>
  <c r="AD345" i="5"/>
  <c r="AE345" i="5"/>
  <c r="AD337" i="5"/>
  <c r="AE337" i="5"/>
  <c r="AD273" i="5"/>
  <c r="AE273" i="5"/>
  <c r="AD265" i="5"/>
  <c r="AE265" i="5"/>
  <c r="AD257" i="5"/>
  <c r="AE257" i="5"/>
  <c r="AD249" i="5"/>
  <c r="AE249" i="5"/>
  <c r="AD185" i="5"/>
  <c r="AE185" i="5"/>
  <c r="AD121" i="5"/>
  <c r="AE121" i="5"/>
  <c r="AD25" i="5"/>
  <c r="AE25" i="5"/>
  <c r="AE293" i="5"/>
  <c r="AE285" i="5"/>
  <c r="AE277" i="5"/>
  <c r="AE269" i="5"/>
  <c r="AE261" i="5"/>
  <c r="AE253" i="5"/>
  <c r="AE245" i="5"/>
  <c r="AE237" i="5"/>
  <c r="AE229" i="5"/>
  <c r="AE221" i="5"/>
  <c r="AE213" i="5"/>
  <c r="AE205" i="5"/>
  <c r="AE197" i="5"/>
  <c r="AE189" i="5"/>
  <c r="AE181" i="5"/>
  <c r="AE173" i="5"/>
  <c r="AE165" i="5"/>
  <c r="AE157" i="5"/>
  <c r="AE149" i="5"/>
  <c r="AE141" i="5"/>
  <c r="AE133" i="5"/>
  <c r="AE125" i="5"/>
  <c r="AE117" i="5"/>
  <c r="AE109" i="5"/>
  <c r="AE101" i="5"/>
  <c r="AE93" i="5"/>
  <c r="AE85" i="5"/>
  <c r="AE77" i="5"/>
  <c r="AE69" i="5"/>
  <c r="AE61" i="5"/>
  <c r="AE53" i="5"/>
  <c r="AE45" i="5"/>
  <c r="AE37" i="5"/>
  <c r="AE29" i="5"/>
  <c r="AE21" i="5"/>
  <c r="AE348" i="5"/>
  <c r="AE340" i="5"/>
  <c r="AE332" i="5"/>
  <c r="AE324" i="5"/>
  <c r="AE316" i="5"/>
  <c r="AE308" i="5"/>
  <c r="AE300" i="5"/>
  <c r="AE292" i="5"/>
  <c r="AE284" i="5"/>
  <c r="AE276" i="5"/>
  <c r="AE268" i="5"/>
  <c r="AE260" i="5"/>
  <c r="AE252" i="5"/>
  <c r="AE244" i="5"/>
  <c r="AE236" i="5"/>
  <c r="AE228" i="5"/>
  <c r="AE220" i="5"/>
  <c r="AE212" i="5"/>
  <c r="AE204" i="5"/>
  <c r="AE196" i="5"/>
  <c r="AE188" i="5"/>
  <c r="AE180" i="5"/>
  <c r="AE172" i="5"/>
  <c r="AE164" i="5"/>
  <c r="AE156" i="5"/>
  <c r="AE148" i="5"/>
  <c r="AE140" i="5"/>
  <c r="AE132" i="5"/>
  <c r="AE124" i="5"/>
  <c r="AE116" i="5"/>
  <c r="AE108" i="5"/>
  <c r="AE100" i="5"/>
  <c r="AE92" i="5"/>
  <c r="AE84" i="5"/>
  <c r="AE76" i="5"/>
  <c r="AE68" i="5"/>
  <c r="AE60" i="5"/>
  <c r="AE52" i="5"/>
  <c r="AE44" i="5"/>
  <c r="AE36" i="5"/>
  <c r="AE28" i="5"/>
  <c r="AE20" i="5"/>
  <c r="O37" i="5"/>
  <c r="B5" i="6" l="1"/>
  <c r="H101" i="1" l="1"/>
  <c r="B133" i="2"/>
  <c r="B136" i="2" l="1"/>
  <c r="B137" i="2" s="1"/>
  <c r="B159" i="2" l="1"/>
  <c r="B164" i="2" s="1"/>
  <c r="B153" i="2"/>
  <c r="B157" i="2" s="1"/>
  <c r="B150" i="2"/>
  <c r="B158" i="2" l="1"/>
  <c r="E75" i="1" s="1"/>
  <c r="D75" i="1"/>
  <c r="B151" i="2"/>
  <c r="B75" i="1" s="1"/>
  <c r="A75" i="1"/>
  <c r="B127" i="2"/>
  <c r="G75" i="1" l="1"/>
  <c r="B168" i="2"/>
  <c r="G73" i="1" s="1"/>
  <c r="B167" i="2"/>
  <c r="B166" i="2"/>
  <c r="B169" i="2"/>
  <c r="B165" i="2"/>
  <c r="H75" i="1" s="1"/>
  <c r="G72" i="1" l="1"/>
  <c r="B171" i="2"/>
  <c r="B170" i="2"/>
  <c r="H74" i="1" s="1"/>
  <c r="B143" i="2" l="1"/>
  <c r="B142" i="2"/>
  <c r="B141" i="2"/>
  <c r="B181" i="2"/>
  <c r="B134" i="2"/>
  <c r="B124" i="2"/>
  <c r="B130" i="2"/>
  <c r="B144" i="2" l="1"/>
  <c r="H64" i="1" s="1"/>
  <c r="B83" i="2" l="1"/>
  <c r="B23" i="2" l="1"/>
  <c r="B179" i="2" l="1"/>
  <c r="B183" i="2" s="1"/>
  <c r="B37" i="3"/>
  <c r="B177" i="2" s="1"/>
  <c r="B174" i="2"/>
  <c r="B173" i="2"/>
  <c r="G177" i="2" s="1"/>
  <c r="B176" i="2"/>
  <c r="B175" i="2"/>
  <c r="B178" i="2" l="1"/>
  <c r="G178" i="2"/>
  <c r="B182" i="2"/>
  <c r="H84" i="1" s="1"/>
  <c r="B180" i="2"/>
  <c r="H82" i="1" s="1"/>
  <c r="H80" i="1"/>
  <c r="H85" i="1"/>
  <c r="B120" i="2"/>
  <c r="B81" i="2" l="1"/>
  <c r="B19" i="3" l="1"/>
  <c r="B33" i="3" l="1"/>
  <c r="B319" i="2" l="1"/>
  <c r="B318" i="2"/>
  <c r="B9" i="2"/>
  <c r="H93" i="1" s="1"/>
  <c r="B13" i="2"/>
  <c r="B20" i="2" s="1"/>
  <c r="B8" i="2"/>
  <c r="B11" i="2"/>
  <c r="B26" i="2" s="1"/>
  <c r="B309" i="2"/>
  <c r="B299" i="2"/>
  <c r="B311" i="2"/>
  <c r="B312" i="2"/>
  <c r="B313" i="2"/>
  <c r="B316" i="2"/>
  <c r="B310" i="2"/>
  <c r="B317" i="2"/>
  <c r="B42" i="2"/>
  <c r="B30" i="3"/>
  <c r="B62" i="5" s="1"/>
  <c r="AV37" i="5" s="1"/>
  <c r="B29" i="5"/>
  <c r="B43" i="3"/>
  <c r="B186" i="2"/>
  <c r="B300" i="2"/>
  <c r="B296" i="2"/>
  <c r="B295" i="2"/>
  <c r="B294" i="2"/>
  <c r="B293" i="2"/>
  <c r="B292" i="2"/>
  <c r="B188" i="2"/>
  <c r="B275" i="2"/>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B30" i="5"/>
  <c r="B56" i="5"/>
  <c r="B57" i="5"/>
  <c r="B280" i="2"/>
  <c r="B282" i="2"/>
  <c r="B60" i="5" s="1"/>
  <c r="B278" i="2"/>
  <c r="B115" i="2"/>
  <c r="B99" i="2"/>
  <c r="B93" i="2"/>
  <c r="B26" i="5"/>
  <c r="B51" i="2"/>
  <c r="B33" i="2"/>
  <c r="B10" i="2"/>
  <c r="B12" i="5" s="1"/>
  <c r="B110" i="2"/>
  <c r="B12" i="2" l="1"/>
  <c r="H14" i="1" s="1"/>
  <c r="B97" i="2"/>
  <c r="B98" i="2"/>
  <c r="H95" i="1"/>
  <c r="B235" i="2"/>
  <c r="B22" i="2"/>
  <c r="H44" i="1" s="1"/>
  <c r="H43" i="1"/>
  <c r="B21" i="2"/>
  <c r="H42" i="1" s="1"/>
  <c r="B25" i="5"/>
  <c r="B19" i="5"/>
  <c r="O8" i="5"/>
  <c r="AC8" i="5" s="1"/>
  <c r="T8" i="4"/>
  <c r="AT8" i="4" s="1"/>
  <c r="B194" i="2"/>
  <c r="B260" i="2"/>
  <c r="O7" i="5"/>
  <c r="AC7" i="5" s="1"/>
  <c r="R15" i="4"/>
  <c r="B16" i="5"/>
  <c r="P15" i="5" s="1"/>
  <c r="B231" i="2"/>
  <c r="B13" i="5"/>
  <c r="B228" i="2"/>
  <c r="B48" i="5"/>
  <c r="B225" i="2"/>
  <c r="B51" i="5"/>
  <c r="M8" i="4"/>
  <c r="B262" i="2"/>
  <c r="B265" i="2" s="1"/>
  <c r="R121" i="4"/>
  <c r="R78" i="4"/>
  <c r="R119" i="4"/>
  <c r="R74" i="4"/>
  <c r="R150" i="4"/>
  <c r="R108" i="4"/>
  <c r="R58" i="4"/>
  <c r="R111" i="4"/>
  <c r="R143" i="4"/>
  <c r="R100" i="4"/>
  <c r="R37" i="4"/>
  <c r="R152" i="4"/>
  <c r="R140" i="4"/>
  <c r="R97" i="4"/>
  <c r="R21" i="4"/>
  <c r="R59" i="4"/>
  <c r="R132" i="4"/>
  <c r="R89" i="4"/>
  <c r="R129" i="4"/>
  <c r="R87" i="4"/>
  <c r="T62" i="4"/>
  <c r="AT62" i="4" s="1"/>
  <c r="B11" i="5"/>
  <c r="J49" i="5"/>
  <c r="O9" i="4"/>
  <c r="T56" i="4"/>
  <c r="AT56" i="4" s="1"/>
  <c r="T70" i="4"/>
  <c r="AT70" i="4" s="1"/>
  <c r="T12" i="4"/>
  <c r="AT12" i="4" s="1"/>
  <c r="T9" i="4"/>
  <c r="AT9" i="4" s="1"/>
  <c r="T59" i="4"/>
  <c r="AT59" i="4" s="1"/>
  <c r="R151" i="4"/>
  <c r="R142" i="4"/>
  <c r="R130" i="4"/>
  <c r="R120" i="4"/>
  <c r="R110" i="4"/>
  <c r="R98" i="4"/>
  <c r="R88" i="4"/>
  <c r="R76" i="4"/>
  <c r="R29" i="4"/>
  <c r="R7" i="4"/>
  <c r="R149" i="4"/>
  <c r="R138" i="4"/>
  <c r="R128" i="4"/>
  <c r="R118" i="4"/>
  <c r="R106" i="4"/>
  <c r="R96" i="4"/>
  <c r="R86" i="4"/>
  <c r="R157" i="4"/>
  <c r="R148" i="4"/>
  <c r="R137" i="4"/>
  <c r="R127" i="4"/>
  <c r="R116" i="4"/>
  <c r="R105" i="4"/>
  <c r="R95" i="4"/>
  <c r="R84" i="4"/>
  <c r="R64" i="4"/>
  <c r="R55" i="4"/>
  <c r="R10" i="4"/>
  <c r="R156" i="4"/>
  <c r="R146" i="4"/>
  <c r="R136" i="4"/>
  <c r="R126" i="4"/>
  <c r="R114" i="4"/>
  <c r="R104" i="4"/>
  <c r="R94" i="4"/>
  <c r="R82" i="4"/>
  <c r="R63" i="4"/>
  <c r="R54" i="4"/>
  <c r="R154" i="4"/>
  <c r="R145" i="4"/>
  <c r="R135" i="4"/>
  <c r="R124" i="4"/>
  <c r="R113" i="4"/>
  <c r="R103" i="4"/>
  <c r="R92" i="4"/>
  <c r="R80" i="4"/>
  <c r="R62" i="4"/>
  <c r="R51" i="4"/>
  <c r="R153" i="4"/>
  <c r="R144" i="4"/>
  <c r="R134" i="4"/>
  <c r="R122" i="4"/>
  <c r="R112" i="4"/>
  <c r="R102" i="4"/>
  <c r="R90" i="4"/>
  <c r="R79" i="4"/>
  <c r="R47" i="4"/>
  <c r="R50" i="4"/>
  <c r="R141" i="4"/>
  <c r="R133" i="4"/>
  <c r="R125" i="4"/>
  <c r="R117" i="4"/>
  <c r="R109" i="4"/>
  <c r="R101" i="4"/>
  <c r="R93" i="4"/>
  <c r="R85" i="4"/>
  <c r="R75" i="4"/>
  <c r="R46" i="4"/>
  <c r="R43" i="4"/>
  <c r="R155" i="4"/>
  <c r="R147" i="4"/>
  <c r="R139" i="4"/>
  <c r="R131" i="4"/>
  <c r="R123" i="4"/>
  <c r="R115" i="4"/>
  <c r="R107" i="4"/>
  <c r="R99" i="4"/>
  <c r="R91" i="4"/>
  <c r="R83" i="4"/>
  <c r="R42" i="4"/>
  <c r="T139" i="4"/>
  <c r="AT139" i="4" s="1"/>
  <c r="T122" i="4"/>
  <c r="AT122" i="4" s="1"/>
  <c r="T138" i="4"/>
  <c r="AT138" i="4" s="1"/>
  <c r="T123" i="4"/>
  <c r="AT123" i="4" s="1"/>
  <c r="T154" i="4"/>
  <c r="AT154" i="4" s="1"/>
  <c r="T151" i="4"/>
  <c r="AT151" i="4" s="1"/>
  <c r="T146" i="4"/>
  <c r="AT146" i="4" s="1"/>
  <c r="T143" i="4"/>
  <c r="AT143" i="4" s="1"/>
  <c r="T134" i="4"/>
  <c r="AT134" i="4" s="1"/>
  <c r="T127" i="4"/>
  <c r="AT127" i="4" s="1"/>
  <c r="T118" i="4"/>
  <c r="AT118" i="4" s="1"/>
  <c r="T100" i="4"/>
  <c r="AT100" i="4" s="1"/>
  <c r="T93" i="4"/>
  <c r="AT93" i="4" s="1"/>
  <c r="T46" i="4"/>
  <c r="AT46" i="4" s="1"/>
  <c r="T40" i="4"/>
  <c r="AT40" i="4" s="1"/>
  <c r="T22" i="4"/>
  <c r="AT22" i="4" s="1"/>
  <c r="T155" i="4"/>
  <c r="AT155" i="4" s="1"/>
  <c r="T150" i="4"/>
  <c r="AT150" i="4" s="1"/>
  <c r="T147" i="4"/>
  <c r="AT147" i="4" s="1"/>
  <c r="T109" i="4"/>
  <c r="AT109" i="4" s="1"/>
  <c r="T84" i="4"/>
  <c r="AT84" i="4" s="1"/>
  <c r="T80" i="4"/>
  <c r="AT80" i="4" s="1"/>
  <c r="T76" i="4"/>
  <c r="AT76" i="4" s="1"/>
  <c r="T43" i="4"/>
  <c r="AT43" i="4" s="1"/>
  <c r="T37" i="4"/>
  <c r="AT37" i="4" s="1"/>
  <c r="T19" i="4"/>
  <c r="AT19" i="4" s="1"/>
  <c r="T7" i="4"/>
  <c r="AT7" i="4" s="1"/>
  <c r="T132" i="4"/>
  <c r="AT132" i="4" s="1"/>
  <c r="T129" i="4"/>
  <c r="AT129" i="4" s="1"/>
  <c r="T116" i="4"/>
  <c r="AT116" i="4" s="1"/>
  <c r="T113" i="4"/>
  <c r="AT113" i="4" s="1"/>
  <c r="T107" i="4"/>
  <c r="AT107" i="4" s="1"/>
  <c r="T91" i="4"/>
  <c r="AT91" i="4" s="1"/>
  <c r="T74" i="4"/>
  <c r="AT74" i="4" s="1"/>
  <c r="T64" i="4"/>
  <c r="AT64" i="4" s="1"/>
  <c r="T51" i="4"/>
  <c r="AT51" i="4" s="1"/>
  <c r="T33" i="4"/>
  <c r="AT33" i="4" s="1"/>
  <c r="T141" i="4"/>
  <c r="AT141" i="4" s="1"/>
  <c r="T136" i="4"/>
  <c r="AT136" i="4" s="1"/>
  <c r="T125" i="4"/>
  <c r="AT125" i="4" s="1"/>
  <c r="T120" i="4"/>
  <c r="AT120" i="4" s="1"/>
  <c r="T102" i="4"/>
  <c r="AT102" i="4" s="1"/>
  <c r="T86" i="4"/>
  <c r="AT86" i="4" s="1"/>
  <c r="T67" i="4"/>
  <c r="AT67" i="4" s="1"/>
  <c r="T54" i="4"/>
  <c r="AT54" i="4" s="1"/>
  <c r="T48" i="4"/>
  <c r="AT48" i="4" s="1"/>
  <c r="T26" i="4"/>
  <c r="AT26" i="4" s="1"/>
  <c r="T15" i="4"/>
  <c r="AT15" i="4" s="1"/>
  <c r="B64" i="5"/>
  <c r="B10" i="5"/>
  <c r="B63" i="5"/>
  <c r="B58" i="5"/>
  <c r="B65" i="5"/>
  <c r="AZ37" i="5" s="1"/>
  <c r="T156" i="4"/>
  <c r="AT156" i="4" s="1"/>
  <c r="T152" i="4"/>
  <c r="AT152" i="4" s="1"/>
  <c r="T148" i="4"/>
  <c r="AT148" i="4" s="1"/>
  <c r="T144" i="4"/>
  <c r="AT144" i="4" s="1"/>
  <c r="T137" i="4"/>
  <c r="AT137" i="4" s="1"/>
  <c r="T135" i="4"/>
  <c r="AT135" i="4" s="1"/>
  <c r="T130" i="4"/>
  <c r="AT130" i="4" s="1"/>
  <c r="T128" i="4"/>
  <c r="AT128" i="4" s="1"/>
  <c r="T121" i="4"/>
  <c r="AT121" i="4" s="1"/>
  <c r="T119" i="4"/>
  <c r="AT119" i="4" s="1"/>
  <c r="T114" i="4"/>
  <c r="AT114" i="4" s="1"/>
  <c r="T112" i="4"/>
  <c r="AT112" i="4" s="1"/>
  <c r="T105" i="4"/>
  <c r="AT105" i="4" s="1"/>
  <c r="T103" i="4"/>
  <c r="AT103" i="4" s="1"/>
  <c r="T98" i="4"/>
  <c r="AT98" i="4" s="1"/>
  <c r="T96" i="4"/>
  <c r="AT96" i="4" s="1"/>
  <c r="T89" i="4"/>
  <c r="AT89" i="4" s="1"/>
  <c r="T87" i="4"/>
  <c r="AT87" i="4" s="1"/>
  <c r="T82" i="4"/>
  <c r="AT82" i="4" s="1"/>
  <c r="T78" i="4"/>
  <c r="AT78" i="4" s="1"/>
  <c r="T73" i="4"/>
  <c r="AT73" i="4" s="1"/>
  <c r="T66" i="4"/>
  <c r="AT66" i="4" s="1"/>
  <c r="T61" i="4"/>
  <c r="AT61" i="4" s="1"/>
  <c r="T53" i="4"/>
  <c r="AT53" i="4" s="1"/>
  <c r="T45" i="4"/>
  <c r="AT45" i="4" s="1"/>
  <c r="T39" i="4"/>
  <c r="AT39" i="4" s="1"/>
  <c r="T36" i="4"/>
  <c r="AT36" i="4" s="1"/>
  <c r="T32" i="4"/>
  <c r="AT32" i="4" s="1"/>
  <c r="T29" i="4"/>
  <c r="AT29" i="4" s="1"/>
  <c r="T25" i="4"/>
  <c r="AT25" i="4" s="1"/>
  <c r="T18" i="4"/>
  <c r="AT18" i="4" s="1"/>
  <c r="T14" i="4"/>
  <c r="AT14" i="4" s="1"/>
  <c r="T11" i="4"/>
  <c r="AT11" i="4" s="1"/>
  <c r="T157" i="4"/>
  <c r="AT157" i="4" s="1"/>
  <c r="T153" i="4"/>
  <c r="AT153" i="4" s="1"/>
  <c r="T149" i="4"/>
  <c r="AT149" i="4" s="1"/>
  <c r="T145" i="4"/>
  <c r="AT145" i="4" s="1"/>
  <c r="T142" i="4"/>
  <c r="AT142" i="4" s="1"/>
  <c r="T140" i="4"/>
  <c r="AT140" i="4" s="1"/>
  <c r="T133" i="4"/>
  <c r="AT133" i="4" s="1"/>
  <c r="T131" i="4"/>
  <c r="AT131" i="4" s="1"/>
  <c r="T126" i="4"/>
  <c r="AT126" i="4" s="1"/>
  <c r="T124" i="4"/>
  <c r="AT124" i="4" s="1"/>
  <c r="T117" i="4"/>
  <c r="AT117" i="4" s="1"/>
  <c r="T115" i="4"/>
  <c r="AT115" i="4" s="1"/>
  <c r="T110" i="4"/>
  <c r="AT110" i="4" s="1"/>
  <c r="T108" i="4"/>
  <c r="AT108" i="4" s="1"/>
  <c r="T101" i="4"/>
  <c r="AT101" i="4" s="1"/>
  <c r="T99" i="4"/>
  <c r="AT99" i="4" s="1"/>
  <c r="T94" i="4"/>
  <c r="AT94" i="4" s="1"/>
  <c r="T92" i="4"/>
  <c r="AT92" i="4" s="1"/>
  <c r="T85" i="4"/>
  <c r="AT85" i="4" s="1"/>
  <c r="T83" i="4"/>
  <c r="AT83" i="4" s="1"/>
  <c r="T81" i="4"/>
  <c r="AT81" i="4" s="1"/>
  <c r="T77" i="4"/>
  <c r="AT77" i="4" s="1"/>
  <c r="T75" i="4"/>
  <c r="AT75" i="4" s="1"/>
  <c r="T72" i="4"/>
  <c r="AT72" i="4" s="1"/>
  <c r="T69" i="4"/>
  <c r="AT69" i="4" s="1"/>
  <c r="T65" i="4"/>
  <c r="AT65" i="4" s="1"/>
  <c r="T63" i="4"/>
  <c r="AT63" i="4" s="1"/>
  <c r="T60" i="4"/>
  <c r="AT60" i="4" s="1"/>
  <c r="T58" i="4"/>
  <c r="AT58" i="4" s="1"/>
  <c r="T55" i="4"/>
  <c r="AT55" i="4" s="1"/>
  <c r="T52" i="4"/>
  <c r="AT52" i="4" s="1"/>
  <c r="T50" i="4"/>
  <c r="AT50" i="4" s="1"/>
  <c r="T47" i="4"/>
  <c r="AT47" i="4" s="1"/>
  <c r="T44" i="4"/>
  <c r="AT44" i="4" s="1"/>
  <c r="T42" i="4"/>
  <c r="AT42" i="4" s="1"/>
  <c r="T38" i="4"/>
  <c r="AT38" i="4" s="1"/>
  <c r="T35" i="4"/>
  <c r="AT35" i="4" s="1"/>
  <c r="T31" i="4"/>
  <c r="AT31" i="4" s="1"/>
  <c r="T28" i="4"/>
  <c r="AT28" i="4" s="1"/>
  <c r="T24" i="4"/>
  <c r="AT24" i="4" s="1"/>
  <c r="T21" i="4"/>
  <c r="AT21" i="4" s="1"/>
  <c r="T17" i="4"/>
  <c r="AT17" i="4" s="1"/>
  <c r="T111" i="4"/>
  <c r="AT111" i="4" s="1"/>
  <c r="T106" i="4"/>
  <c r="AT106" i="4" s="1"/>
  <c r="T104" i="4"/>
  <c r="AT104" i="4" s="1"/>
  <c r="T97" i="4"/>
  <c r="AT97" i="4" s="1"/>
  <c r="T95" i="4"/>
  <c r="AT95" i="4" s="1"/>
  <c r="T90" i="4"/>
  <c r="AT90" i="4" s="1"/>
  <c r="T88" i="4"/>
  <c r="AT88" i="4" s="1"/>
  <c r="T79" i="4"/>
  <c r="AT79" i="4" s="1"/>
  <c r="T71" i="4"/>
  <c r="AT71" i="4" s="1"/>
  <c r="T68" i="4"/>
  <c r="AT68" i="4" s="1"/>
  <c r="T57" i="4"/>
  <c r="AT57" i="4" s="1"/>
  <c r="T49" i="4"/>
  <c r="AT49" i="4" s="1"/>
  <c r="T41" i="4"/>
  <c r="AT41" i="4" s="1"/>
  <c r="T34" i="4"/>
  <c r="AT34" i="4" s="1"/>
  <c r="T30" i="4"/>
  <c r="AT30" i="4" s="1"/>
  <c r="T27" i="4"/>
  <c r="AT27" i="4" s="1"/>
  <c r="T23" i="4"/>
  <c r="AT23" i="4" s="1"/>
  <c r="T20" i="4"/>
  <c r="AT20" i="4" s="1"/>
  <c r="T16" i="4"/>
  <c r="AT16" i="4" s="1"/>
  <c r="T13" i="4"/>
  <c r="AT13" i="4" s="1"/>
  <c r="T10" i="4"/>
  <c r="AT10" i="4" s="1"/>
  <c r="R72" i="4"/>
  <c r="R70" i="4"/>
  <c r="R68" i="4"/>
  <c r="R66" i="4"/>
  <c r="R23" i="4"/>
  <c r="R71" i="4"/>
  <c r="R67" i="4"/>
  <c r="R31" i="4"/>
  <c r="R8" i="4"/>
  <c r="B35" i="2"/>
  <c r="B36" i="2" s="1"/>
  <c r="R38" i="4"/>
  <c r="R33" i="4"/>
  <c r="R25" i="4"/>
  <c r="R17" i="4"/>
  <c r="R12" i="4"/>
  <c r="R40" i="4"/>
  <c r="R35" i="4"/>
  <c r="R27" i="4"/>
  <c r="R19" i="4"/>
  <c r="K9" i="2"/>
  <c r="E31" i="2"/>
  <c r="B59" i="5"/>
  <c r="B201" i="2"/>
  <c r="R60" i="4"/>
  <c r="R56" i="4"/>
  <c r="R52" i="4"/>
  <c r="R48" i="4"/>
  <c r="R44" i="4"/>
  <c r="R36" i="4"/>
  <c r="R34" i="4"/>
  <c r="R32" i="4"/>
  <c r="R30" i="4"/>
  <c r="R13" i="4"/>
  <c r="R11" i="4"/>
  <c r="R9" i="4"/>
  <c r="R81" i="4"/>
  <c r="R77" i="4"/>
  <c r="R73" i="4"/>
  <c r="R69" i="4"/>
  <c r="R65" i="4"/>
  <c r="R61" i="4"/>
  <c r="R57" i="4"/>
  <c r="R53" i="4"/>
  <c r="R49" i="4"/>
  <c r="R45" i="4"/>
  <c r="R41" i="4"/>
  <c r="R39" i="4"/>
  <c r="R28" i="4"/>
  <c r="R26" i="4"/>
  <c r="R24" i="4"/>
  <c r="R22" i="4"/>
  <c r="R20" i="4"/>
  <c r="R18" i="4"/>
  <c r="R16" i="4"/>
  <c r="R14" i="4"/>
  <c r="B25" i="2"/>
  <c r="AS10" i="4"/>
  <c r="AS34" i="4"/>
  <c r="AS46" i="4"/>
  <c r="AS54" i="4"/>
  <c r="AS58" i="4"/>
  <c r="AS66" i="4"/>
  <c r="AS74" i="4"/>
  <c r="AS82" i="4"/>
  <c r="AS90" i="4"/>
  <c r="AS98" i="4"/>
  <c r="AS102" i="4"/>
  <c r="AS110" i="4"/>
  <c r="AS118" i="4"/>
  <c r="AS126" i="4"/>
  <c r="AS134" i="4"/>
  <c r="AS142" i="4"/>
  <c r="AS150" i="4"/>
  <c r="AS7" i="4"/>
  <c r="AS148" i="4"/>
  <c r="AS11" i="4"/>
  <c r="AS15" i="4"/>
  <c r="AS19" i="4"/>
  <c r="AS23" i="4"/>
  <c r="AS27" i="4"/>
  <c r="AS31" i="4"/>
  <c r="AS35" i="4"/>
  <c r="AS39" i="4"/>
  <c r="AS43" i="4"/>
  <c r="AS47" i="4"/>
  <c r="AS51" i="4"/>
  <c r="AS55" i="4"/>
  <c r="AS59" i="4"/>
  <c r="AS63" i="4"/>
  <c r="AS67" i="4"/>
  <c r="AS71" i="4"/>
  <c r="AS75" i="4"/>
  <c r="AS79" i="4"/>
  <c r="AS83" i="4"/>
  <c r="AS87" i="4"/>
  <c r="AS91" i="4"/>
  <c r="AS95" i="4"/>
  <c r="AS99" i="4"/>
  <c r="AS103" i="4"/>
  <c r="AS107" i="4"/>
  <c r="AS111" i="4"/>
  <c r="AS115" i="4"/>
  <c r="AS119" i="4"/>
  <c r="AS123" i="4"/>
  <c r="AS127" i="4"/>
  <c r="AS131" i="4"/>
  <c r="AS135" i="4"/>
  <c r="AS139" i="4"/>
  <c r="AS143" i="4"/>
  <c r="AS147" i="4"/>
  <c r="AS151" i="4"/>
  <c r="AS155" i="4"/>
  <c r="AS12" i="4"/>
  <c r="AS16" i="4"/>
  <c r="AS20" i="4"/>
  <c r="AS24" i="4"/>
  <c r="AS28" i="4"/>
  <c r="AS36" i="4"/>
  <c r="AS40" i="4"/>
  <c r="AS48" i="4"/>
  <c r="AS56" i="4"/>
  <c r="AS60" i="4"/>
  <c r="AS68" i="4"/>
  <c r="AS76" i="4"/>
  <c r="AS84" i="4"/>
  <c r="AS88" i="4"/>
  <c r="AS96" i="4"/>
  <c r="AS104" i="4"/>
  <c r="AS108" i="4"/>
  <c r="AS116" i="4"/>
  <c r="AS124" i="4"/>
  <c r="AS128" i="4"/>
  <c r="AS136" i="4"/>
  <c r="AS152" i="4"/>
  <c r="AS8" i="4"/>
  <c r="AS32" i="4"/>
  <c r="AS44" i="4"/>
  <c r="AS52" i="4"/>
  <c r="AS64" i="4"/>
  <c r="AS72" i="4"/>
  <c r="AS80" i="4"/>
  <c r="AS92" i="4"/>
  <c r="AS100" i="4"/>
  <c r="AS112" i="4"/>
  <c r="AS120" i="4"/>
  <c r="AS132" i="4"/>
  <c r="AS144" i="4"/>
  <c r="AS9" i="4"/>
  <c r="AS13" i="4"/>
  <c r="AS17" i="4"/>
  <c r="AS21" i="4"/>
  <c r="AS25" i="4"/>
  <c r="AS29" i="4"/>
  <c r="AS33" i="4"/>
  <c r="AS37" i="4"/>
  <c r="AS41" i="4"/>
  <c r="AS45" i="4"/>
  <c r="AS49" i="4"/>
  <c r="AS53" i="4"/>
  <c r="AS57" i="4"/>
  <c r="AS61" i="4"/>
  <c r="AS65" i="4"/>
  <c r="AS69" i="4"/>
  <c r="AS73" i="4"/>
  <c r="AS77" i="4"/>
  <c r="AS81" i="4"/>
  <c r="AS85" i="4"/>
  <c r="AS89" i="4"/>
  <c r="AS93" i="4"/>
  <c r="AS97" i="4"/>
  <c r="AS101" i="4"/>
  <c r="AS105" i="4"/>
  <c r="AS109" i="4"/>
  <c r="AS113" i="4"/>
  <c r="AS117" i="4"/>
  <c r="AS121" i="4"/>
  <c r="AS125" i="4"/>
  <c r="AS129" i="4"/>
  <c r="AS133" i="4"/>
  <c r="AS137" i="4"/>
  <c r="AS141" i="4"/>
  <c r="AS145" i="4"/>
  <c r="AS149" i="4"/>
  <c r="AS153" i="4"/>
  <c r="AS157" i="4"/>
  <c r="AS14" i="4"/>
  <c r="AS18" i="4"/>
  <c r="AS22" i="4"/>
  <c r="AS26" i="4"/>
  <c r="AS30" i="4"/>
  <c r="AS38" i="4"/>
  <c r="AS42" i="4"/>
  <c r="AS50" i="4"/>
  <c r="AS62" i="4"/>
  <c r="AS70" i="4"/>
  <c r="AS78" i="4"/>
  <c r="AS86" i="4"/>
  <c r="AS94" i="4"/>
  <c r="AS106" i="4"/>
  <c r="AS114" i="4"/>
  <c r="AS122" i="4"/>
  <c r="AS130" i="4"/>
  <c r="AS138" i="4"/>
  <c r="AS146" i="4"/>
  <c r="AS154" i="4"/>
  <c r="AS140" i="4"/>
  <c r="AS156" i="4"/>
  <c r="H18" i="1" l="1"/>
  <c r="AE7" i="5"/>
  <c r="AD7" i="5"/>
  <c r="AD8" i="5"/>
  <c r="AE8" i="5"/>
  <c r="BC20" i="5"/>
  <c r="BD20" i="5" s="1"/>
  <c r="BC37" i="5"/>
  <c r="AW36" i="5"/>
  <c r="AX36" i="5" s="1"/>
  <c r="AW37" i="5"/>
  <c r="BA37" i="5"/>
  <c r="BB37" i="5"/>
  <c r="B189" i="2"/>
  <c r="H90" i="1" s="1"/>
  <c r="AZ7" i="5"/>
  <c r="BA7" i="5" s="1"/>
  <c r="AW29" i="5"/>
  <c r="AY29" i="5" s="1"/>
  <c r="AW142" i="5"/>
  <c r="AY142" i="5" s="1"/>
  <c r="AW96" i="5"/>
  <c r="AY96" i="5" s="1"/>
  <c r="AW270" i="5"/>
  <c r="AX270" i="5" s="1"/>
  <c r="AW33" i="5"/>
  <c r="AY33" i="5" s="1"/>
  <c r="AW46" i="5"/>
  <c r="AY46" i="5" s="1"/>
  <c r="AW273" i="5"/>
  <c r="AX273" i="5" s="1"/>
  <c r="AW41" i="5"/>
  <c r="AY41" i="5" s="1"/>
  <c r="AW299" i="5"/>
  <c r="AY299" i="5" s="1"/>
  <c r="AW286" i="5"/>
  <c r="AY286" i="5" s="1"/>
  <c r="AW283" i="5"/>
  <c r="AX283" i="5" s="1"/>
  <c r="AW159" i="5"/>
  <c r="AY159" i="5" s="1"/>
  <c r="AW229" i="5"/>
  <c r="AX229" i="5" s="1"/>
  <c r="AW190" i="5"/>
  <c r="AX190" i="5" s="1"/>
  <c r="AW177" i="5"/>
  <c r="AX177" i="5" s="1"/>
  <c r="AW291" i="5"/>
  <c r="AY291" i="5" s="1"/>
  <c r="AW238" i="5"/>
  <c r="AY238" i="5" s="1"/>
  <c r="AW84" i="5"/>
  <c r="AX84" i="5" s="1"/>
  <c r="AW89" i="5"/>
  <c r="AY89" i="5" s="1"/>
  <c r="AW246" i="5"/>
  <c r="AY246" i="5" s="1"/>
  <c r="AW7" i="5"/>
  <c r="AY7" i="5" s="1"/>
  <c r="AW44" i="5"/>
  <c r="AY44" i="5" s="1"/>
  <c r="AW328" i="5"/>
  <c r="AY328" i="5" s="1"/>
  <c r="AW314" i="5"/>
  <c r="AY314" i="5" s="1"/>
  <c r="AW221" i="5"/>
  <c r="AY221" i="5" s="1"/>
  <c r="AW176" i="5"/>
  <c r="AX176" i="5" s="1"/>
  <c r="AW131" i="5"/>
  <c r="AX131" i="5" s="1"/>
  <c r="AW118" i="5"/>
  <c r="AX118" i="5" s="1"/>
  <c r="AW79" i="5"/>
  <c r="AY79" i="5" s="1"/>
  <c r="AW23" i="5"/>
  <c r="AX23" i="5" s="1"/>
  <c r="AW335" i="5"/>
  <c r="AY335" i="5" s="1"/>
  <c r="AW297" i="5"/>
  <c r="AY297" i="5" s="1"/>
  <c r="AW280" i="5"/>
  <c r="AY280" i="5" s="1"/>
  <c r="AW181" i="5"/>
  <c r="AX181" i="5" s="1"/>
  <c r="AW28" i="5"/>
  <c r="AY28" i="5" s="1"/>
  <c r="AW316" i="5"/>
  <c r="AY316" i="5" s="1"/>
  <c r="AW301" i="5"/>
  <c r="AX301" i="5" s="1"/>
  <c r="AW195" i="5"/>
  <c r="AY195" i="5" s="1"/>
  <c r="AW199" i="5"/>
  <c r="AY199" i="5" s="1"/>
  <c r="AW187" i="5"/>
  <c r="AX187" i="5" s="1"/>
  <c r="AW92" i="5"/>
  <c r="AY92" i="5" s="1"/>
  <c r="AW103" i="5"/>
  <c r="AX103" i="5" s="1"/>
  <c r="AW65" i="5"/>
  <c r="AX65" i="5" s="1"/>
  <c r="AW307" i="5"/>
  <c r="AX307" i="5" s="1"/>
  <c r="AW282" i="5"/>
  <c r="AX282" i="5" s="1"/>
  <c r="AW249" i="5"/>
  <c r="AX249" i="5" s="1"/>
  <c r="AW173" i="5"/>
  <c r="AX173" i="5" s="1"/>
  <c r="AW38" i="5"/>
  <c r="AY38" i="5" s="1"/>
  <c r="AW32" i="5"/>
  <c r="AY32" i="5" s="1"/>
  <c r="AW276" i="5"/>
  <c r="AX276" i="5" s="1"/>
  <c r="AW257" i="5"/>
  <c r="AX257" i="5" s="1"/>
  <c r="AW211" i="5"/>
  <c r="AX211" i="5" s="1"/>
  <c r="AW160" i="5"/>
  <c r="AX160" i="5" s="1"/>
  <c r="AW135" i="5"/>
  <c r="AX135" i="5" s="1"/>
  <c r="AW141" i="5"/>
  <c r="AY141" i="5" s="1"/>
  <c r="AW78" i="5"/>
  <c r="AY78" i="5" s="1"/>
  <c r="AW25" i="5"/>
  <c r="AY25" i="5" s="1"/>
  <c r="AW259" i="5"/>
  <c r="AX259" i="5" s="1"/>
  <c r="AW205" i="5"/>
  <c r="AX205" i="5" s="1"/>
  <c r="AW248" i="5"/>
  <c r="AX248" i="5" s="1"/>
  <c r="AW21" i="5"/>
  <c r="AX21" i="5" s="1"/>
  <c r="AW153" i="5"/>
  <c r="AY153" i="5" s="1"/>
  <c r="AW54" i="5"/>
  <c r="AX54" i="5" s="1"/>
  <c r="AW24" i="5"/>
  <c r="AY24" i="5" s="1"/>
  <c r="AW250" i="5"/>
  <c r="AX250" i="5" s="1"/>
  <c r="AW251" i="5"/>
  <c r="AY251" i="5" s="1"/>
  <c r="AW164" i="5"/>
  <c r="AY164" i="5" s="1"/>
  <c r="AW133" i="5"/>
  <c r="AY133" i="5" s="1"/>
  <c r="AW110" i="5"/>
  <c r="AY110" i="5" s="1"/>
  <c r="AW121" i="5"/>
  <c r="AX121" i="5" s="1"/>
  <c r="AW55" i="5"/>
  <c r="AX55" i="5" s="1"/>
  <c r="AW47" i="5"/>
  <c r="AX47" i="5" s="1"/>
  <c r="AW200" i="5"/>
  <c r="AY200" i="5" s="1"/>
  <c r="AW322" i="5"/>
  <c r="AX322" i="5" s="1"/>
  <c r="AW234" i="5"/>
  <c r="AX234" i="5" s="1"/>
  <c r="AW175" i="5"/>
  <c r="AY175" i="5" s="1"/>
  <c r="AW93" i="5"/>
  <c r="AY93" i="5" s="1"/>
  <c r="AW271" i="5"/>
  <c r="AX271" i="5" s="1"/>
  <c r="AW243" i="5"/>
  <c r="AX243" i="5" s="1"/>
  <c r="AW53" i="5"/>
  <c r="AX53" i="5" s="1"/>
  <c r="AW42" i="5"/>
  <c r="AX42" i="5" s="1"/>
  <c r="AW210" i="5"/>
  <c r="AX210" i="5" s="1"/>
  <c r="AW240" i="5"/>
  <c r="AY240" i="5" s="1"/>
  <c r="AW239" i="5"/>
  <c r="AX239" i="5" s="1"/>
  <c r="AW182" i="5"/>
  <c r="AY182" i="5" s="1"/>
  <c r="AW139" i="5"/>
  <c r="AX139" i="5" s="1"/>
  <c r="AW100" i="5"/>
  <c r="AY100" i="5" s="1"/>
  <c r="AW69" i="5"/>
  <c r="AY69" i="5" s="1"/>
  <c r="AW34" i="5"/>
  <c r="AY34" i="5" s="1"/>
  <c r="AW327" i="5"/>
  <c r="AX327" i="5" s="1"/>
  <c r="AW312" i="5"/>
  <c r="AX312" i="5" s="1"/>
  <c r="AW189" i="5"/>
  <c r="AY189" i="5" s="1"/>
  <c r="AW30" i="5"/>
  <c r="AY30" i="5" s="1"/>
  <c r="AW237" i="5"/>
  <c r="AY237" i="5" s="1"/>
  <c r="AW324" i="5"/>
  <c r="AY324" i="5" s="1"/>
  <c r="AW233" i="5"/>
  <c r="AX233" i="5" s="1"/>
  <c r="AW218" i="5"/>
  <c r="AX218" i="5" s="1"/>
  <c r="AW165" i="5"/>
  <c r="AX165" i="5" s="1"/>
  <c r="AW130" i="5"/>
  <c r="AX130" i="5" s="1"/>
  <c r="AW91" i="5"/>
  <c r="AY91" i="5" s="1"/>
  <c r="AW66" i="5"/>
  <c r="AY66" i="5" s="1"/>
  <c r="AW39" i="5"/>
  <c r="AY39" i="5" s="1"/>
  <c r="AW311" i="5"/>
  <c r="AX311" i="5" s="1"/>
  <c r="AW295" i="5"/>
  <c r="AX295" i="5" s="1"/>
  <c r="AW111" i="5"/>
  <c r="AY111" i="5" s="1"/>
  <c r="AW126" i="5"/>
  <c r="AX126" i="5" s="1"/>
  <c r="BC290" i="5"/>
  <c r="BD290" i="5" s="1"/>
  <c r="AW115" i="5"/>
  <c r="AX115" i="5" s="1"/>
  <c r="AW87" i="5"/>
  <c r="AY87" i="5" s="1"/>
  <c r="AW52" i="5"/>
  <c r="AX52" i="5" s="1"/>
  <c r="AW265" i="5"/>
  <c r="AX265" i="5" s="1"/>
  <c r="AW224" i="5"/>
  <c r="AX224" i="5" s="1"/>
  <c r="AW172" i="5"/>
  <c r="AY172" i="5" s="1"/>
  <c r="AW150" i="5"/>
  <c r="AX150" i="5" s="1"/>
  <c r="AW71" i="5"/>
  <c r="AX71" i="5" s="1"/>
  <c r="AW90" i="5"/>
  <c r="AX90" i="5" s="1"/>
  <c r="AW51" i="5"/>
  <c r="AY51" i="5" s="1"/>
  <c r="AW255" i="5"/>
  <c r="AY255" i="5" s="1"/>
  <c r="AW209" i="5"/>
  <c r="AX209" i="5" s="1"/>
  <c r="AW157" i="5"/>
  <c r="AX157" i="5" s="1"/>
  <c r="AW129" i="5"/>
  <c r="AY129" i="5" s="1"/>
  <c r="AW136" i="5"/>
  <c r="AY136" i="5" s="1"/>
  <c r="AW77" i="5"/>
  <c r="AX77" i="5" s="1"/>
  <c r="AW31" i="5"/>
  <c r="AX31" i="5" s="1"/>
  <c r="AW138" i="5"/>
  <c r="AY138" i="5" s="1"/>
  <c r="AW83" i="5"/>
  <c r="AX83" i="5" s="1"/>
  <c r="AW22" i="5"/>
  <c r="AX22" i="5" s="1"/>
  <c r="AW8" i="5"/>
  <c r="AY8" i="5" s="1"/>
  <c r="AW230" i="5"/>
  <c r="AY230" i="5" s="1"/>
  <c r="AW215" i="5"/>
  <c r="AX215" i="5" s="1"/>
  <c r="AW163" i="5"/>
  <c r="AX163" i="5" s="1"/>
  <c r="AW122" i="5"/>
  <c r="AX122" i="5" s="1"/>
  <c r="AW88" i="5"/>
  <c r="AX88" i="5" s="1"/>
  <c r="AW63" i="5"/>
  <c r="AX63" i="5" s="1"/>
  <c r="AW217" i="5"/>
  <c r="AX217" i="5" s="1"/>
  <c r="AW154" i="5"/>
  <c r="AY154" i="5" s="1"/>
  <c r="AW128" i="5"/>
  <c r="AY128" i="5" s="1"/>
  <c r="AW109" i="5"/>
  <c r="AY109" i="5" s="1"/>
  <c r="AW75" i="5"/>
  <c r="AY75" i="5" s="1"/>
  <c r="AW20" i="5"/>
  <c r="AX20" i="5" s="1"/>
  <c r="AW191" i="5"/>
  <c r="AY191" i="5" s="1"/>
  <c r="AW198" i="5"/>
  <c r="AX198" i="5" s="1"/>
  <c r="AW183" i="5"/>
  <c r="AY183" i="5" s="1"/>
  <c r="AW156" i="5"/>
  <c r="AY156" i="5" s="1"/>
  <c r="AW102" i="5"/>
  <c r="AY102" i="5" s="1"/>
  <c r="AW62" i="5"/>
  <c r="AX62" i="5" s="1"/>
  <c r="BC24" i="5"/>
  <c r="BD24" i="5" s="1"/>
  <c r="BC173" i="5"/>
  <c r="BE173" i="5" s="1"/>
  <c r="BC66" i="5"/>
  <c r="BD66" i="5" s="1"/>
  <c r="BC303" i="5"/>
  <c r="BE303" i="5" s="1"/>
  <c r="BC60" i="5"/>
  <c r="BE60" i="5" s="1"/>
  <c r="AW43" i="5"/>
  <c r="AX43" i="5" s="1"/>
  <c r="BC139" i="5"/>
  <c r="BD139" i="5" s="1"/>
  <c r="BC126" i="5"/>
  <c r="BE126" i="5" s="1"/>
  <c r="BC194" i="5"/>
  <c r="BE194" i="5" s="1"/>
  <c r="BC299" i="5"/>
  <c r="BE299" i="5" s="1"/>
  <c r="AW56" i="5"/>
  <c r="AY56" i="5" s="1"/>
  <c r="BC171" i="5"/>
  <c r="BD171" i="5" s="1"/>
  <c r="BC324" i="5"/>
  <c r="BD324" i="5" s="1"/>
  <c r="BC23" i="5"/>
  <c r="BE23" i="5" s="1"/>
  <c r="BC211" i="5"/>
  <c r="BD211" i="5" s="1"/>
  <c r="AW64" i="5"/>
  <c r="AY64" i="5" s="1"/>
  <c r="BC265" i="5"/>
  <c r="BE265" i="5" s="1"/>
  <c r="BC164" i="5"/>
  <c r="BD164" i="5" s="1"/>
  <c r="BC27" i="5"/>
  <c r="BE27" i="5" s="1"/>
  <c r="BC121" i="5"/>
  <c r="BE121" i="5" s="1"/>
  <c r="BC249" i="5"/>
  <c r="BE249" i="5" s="1"/>
  <c r="BC116" i="5"/>
  <c r="BD116" i="5" s="1"/>
  <c r="BC40" i="5"/>
  <c r="BE40" i="5" s="1"/>
  <c r="BC184" i="5"/>
  <c r="BD184" i="5" s="1"/>
  <c r="BC95" i="5"/>
  <c r="BD95" i="5" s="1"/>
  <c r="BC305" i="5"/>
  <c r="BD305" i="5" s="1"/>
  <c r="BC148" i="5"/>
  <c r="BD148" i="5" s="1"/>
  <c r="BC50" i="5"/>
  <c r="BD50" i="5" s="1"/>
  <c r="BC278" i="5"/>
  <c r="BD278" i="5" s="1"/>
  <c r="BC127" i="5"/>
  <c r="BD127" i="5" s="1"/>
  <c r="BC393" i="5"/>
  <c r="BD393" i="5" s="1"/>
  <c r="BC196" i="5"/>
  <c r="BD196" i="5" s="1"/>
  <c r="BC59" i="5"/>
  <c r="BE59" i="5" s="1"/>
  <c r="BC318" i="5"/>
  <c r="BE318" i="5" s="1"/>
  <c r="BC135" i="5"/>
  <c r="BD135" i="5" s="1"/>
  <c r="BC246" i="5"/>
  <c r="BD246" i="5" s="1"/>
  <c r="BC296" i="5"/>
  <c r="BE296" i="5" s="1"/>
  <c r="BC123" i="5"/>
  <c r="BD123" i="5" s="1"/>
  <c r="BC218" i="5"/>
  <c r="BD218" i="5" s="1"/>
  <c r="BC190" i="5"/>
  <c r="BE190" i="5" s="1"/>
  <c r="BC55" i="5"/>
  <c r="BD55" i="5" s="1"/>
  <c r="BC264" i="5"/>
  <c r="BD264" i="5" s="1"/>
  <c r="BC140" i="5"/>
  <c r="BE140" i="5" s="1"/>
  <c r="BC152" i="5"/>
  <c r="BD152" i="5" s="1"/>
  <c r="BC220" i="5"/>
  <c r="BE220" i="5" s="1"/>
  <c r="BC110" i="5"/>
  <c r="BD110" i="5" s="1"/>
  <c r="BC315" i="5"/>
  <c r="BE315" i="5" s="1"/>
  <c r="BC158" i="5"/>
  <c r="BE158" i="5" s="1"/>
  <c r="BC35" i="5"/>
  <c r="BE35" i="5" s="1"/>
  <c r="BC200" i="5"/>
  <c r="BE200" i="5" s="1"/>
  <c r="BC98" i="5"/>
  <c r="BE98" i="5" s="1"/>
  <c r="BC312" i="5"/>
  <c r="BD312" i="5" s="1"/>
  <c r="BC161" i="5"/>
  <c r="BE161" i="5" s="1"/>
  <c r="BC91" i="5"/>
  <c r="BD91" i="5" s="1"/>
  <c r="BC255" i="5"/>
  <c r="BD255" i="5" s="1"/>
  <c r="BC150" i="5"/>
  <c r="BE150" i="5" s="1"/>
  <c r="BC22" i="5"/>
  <c r="BE22" i="5" s="1"/>
  <c r="BC212" i="5"/>
  <c r="BD212" i="5" s="1"/>
  <c r="BC69" i="5"/>
  <c r="BD69" i="5" s="1"/>
  <c r="AW49" i="5"/>
  <c r="AW61" i="5"/>
  <c r="AW27" i="5"/>
  <c r="AW45" i="5"/>
  <c r="AW57" i="5"/>
  <c r="AW58" i="5"/>
  <c r="AW70" i="5"/>
  <c r="AW81" i="5"/>
  <c r="AW97" i="5"/>
  <c r="AW82" i="5"/>
  <c r="AW113" i="5"/>
  <c r="AW143" i="5"/>
  <c r="AW148" i="5"/>
  <c r="AW119" i="5"/>
  <c r="AW146" i="5"/>
  <c r="AW144" i="5"/>
  <c r="AW178" i="5"/>
  <c r="AW149" i="5"/>
  <c r="AW184" i="5"/>
  <c r="AW162" i="5"/>
  <c r="AW194" i="5"/>
  <c r="AW193" i="5"/>
  <c r="AW245" i="5"/>
  <c r="AW216" i="5"/>
  <c r="AW166" i="5"/>
  <c r="AW222" i="5"/>
  <c r="AW214" i="5"/>
  <c r="AW260" i="5"/>
  <c r="AW287" i="5"/>
  <c r="AW315" i="5"/>
  <c r="AW219" i="5"/>
  <c r="AW278" i="5"/>
  <c r="AW304" i="5"/>
  <c r="AW117" i="5"/>
  <c r="AW261" i="5"/>
  <c r="AW285" i="5"/>
  <c r="AW303" i="5"/>
  <c r="AW336" i="5"/>
  <c r="AW345" i="5"/>
  <c r="AW356" i="5"/>
  <c r="AW284" i="5"/>
  <c r="AW341" i="5"/>
  <c r="AW378" i="5"/>
  <c r="AW397" i="5"/>
  <c r="AW403" i="5"/>
  <c r="AW421" i="5"/>
  <c r="AW436" i="5"/>
  <c r="AW262" i="5"/>
  <c r="AW321" i="5"/>
  <c r="AW340" i="5"/>
  <c r="AW368" i="5"/>
  <c r="AW386" i="5"/>
  <c r="AW396" i="5"/>
  <c r="AW410" i="5"/>
  <c r="AW347" i="5"/>
  <c r="AW360" i="5"/>
  <c r="AW375" i="5"/>
  <c r="AW402" i="5"/>
  <c r="AW417" i="5"/>
  <c r="AW275" i="5"/>
  <c r="AW346" i="5"/>
  <c r="AW412" i="5"/>
  <c r="AW438" i="5"/>
  <c r="AW451" i="5"/>
  <c r="AW487" i="5"/>
  <c r="AW494" i="5"/>
  <c r="AW510" i="5"/>
  <c r="AW530" i="5"/>
  <c r="AW370" i="5"/>
  <c r="AW425" i="5"/>
  <c r="AW447" i="5"/>
  <c r="AW460" i="5"/>
  <c r="AW483" i="5"/>
  <c r="AW496" i="5"/>
  <c r="AW516" i="5"/>
  <c r="AW337" i="5"/>
  <c r="AW439" i="5"/>
  <c r="AW459" i="5"/>
  <c r="AW474" i="5"/>
  <c r="AW486" i="5"/>
  <c r="AW507" i="5"/>
  <c r="AW525" i="5"/>
  <c r="AW548" i="5"/>
  <c r="AW553" i="5"/>
  <c r="AW380" i="5"/>
  <c r="AW473" i="5"/>
  <c r="AW492" i="5"/>
  <c r="AW40" i="5"/>
  <c r="AW60" i="5"/>
  <c r="AW59" i="5"/>
  <c r="AW73" i="5"/>
  <c r="AW86" i="5"/>
  <c r="AW98" i="5"/>
  <c r="AW85" i="5"/>
  <c r="AW114" i="5"/>
  <c r="AW145" i="5"/>
  <c r="AW151" i="5"/>
  <c r="AW120" i="5"/>
  <c r="AW152" i="5"/>
  <c r="AW147" i="5"/>
  <c r="AW179" i="5"/>
  <c r="AW161" i="5"/>
  <c r="AW95" i="5"/>
  <c r="AW167" i="5"/>
  <c r="AW197" i="5"/>
  <c r="AW208" i="5"/>
  <c r="AW247" i="5"/>
  <c r="AW220" i="5"/>
  <c r="AW188" i="5"/>
  <c r="AW225" i="5"/>
  <c r="AW228" i="5"/>
  <c r="AW263" i="5"/>
  <c r="AW293" i="5"/>
  <c r="AW320" i="5"/>
  <c r="AW241" i="5"/>
  <c r="AW279" i="5"/>
  <c r="AW308" i="5"/>
  <c r="AW196" i="5"/>
  <c r="AW264" i="5"/>
  <c r="AW288" i="5"/>
  <c r="AW313" i="5"/>
  <c r="AW338" i="5"/>
  <c r="AW348" i="5"/>
  <c r="AW359" i="5"/>
  <c r="AW290" i="5"/>
  <c r="AW364" i="5"/>
  <c r="AW382" i="5"/>
  <c r="AW398" i="5"/>
  <c r="AW406" i="5"/>
  <c r="AW424" i="5"/>
  <c r="AW437" i="5"/>
  <c r="AW267" i="5"/>
  <c r="AW326" i="5"/>
  <c r="AW355" i="5"/>
  <c r="AW372" i="5"/>
  <c r="AW387" i="5"/>
  <c r="AW405" i="5"/>
  <c r="AW202" i="5"/>
  <c r="AW351" i="5"/>
  <c r="AW361" i="5"/>
  <c r="AW383" i="5"/>
  <c r="AW404" i="5"/>
  <c r="AW418" i="5"/>
  <c r="AW305" i="5"/>
  <c r="AW350" i="5"/>
  <c r="AW419" i="5"/>
  <c r="AW443" i="5"/>
  <c r="AW466" i="5"/>
  <c r="AW488" i="5"/>
  <c r="AW499" i="5"/>
  <c r="AW513" i="5"/>
  <c r="AW294" i="5"/>
  <c r="AW384" i="5"/>
  <c r="AW48" i="5"/>
  <c r="AW67" i="5"/>
  <c r="AW26" i="5"/>
  <c r="AW72" i="5"/>
  <c r="AW94" i="5"/>
  <c r="AW105" i="5"/>
  <c r="AW101" i="5"/>
  <c r="AW127" i="5"/>
  <c r="AW104" i="5"/>
  <c r="AW99" i="5"/>
  <c r="AW134" i="5"/>
  <c r="AW116" i="5"/>
  <c r="AW158" i="5"/>
  <c r="AW112" i="5"/>
  <c r="AW169" i="5"/>
  <c r="AW140" i="5"/>
  <c r="AW185" i="5"/>
  <c r="AW201" i="5"/>
  <c r="AW223" i="5"/>
  <c r="AW192" i="5"/>
  <c r="AW232" i="5"/>
  <c r="AW212" i="5"/>
  <c r="AW235" i="5"/>
  <c r="AW252" i="5"/>
  <c r="AW274" i="5"/>
  <c r="AW306" i="5"/>
  <c r="AW332" i="5"/>
  <c r="AW258" i="5"/>
  <c r="AW289" i="5"/>
  <c r="AW319" i="5"/>
  <c r="AW244" i="5"/>
  <c r="AW269" i="5"/>
  <c r="AW296" i="5"/>
  <c r="AW318" i="5"/>
  <c r="AW342" i="5"/>
  <c r="AW349" i="5"/>
  <c r="AW174" i="5"/>
  <c r="AW310" i="5"/>
  <c r="AW366" i="5"/>
  <c r="AW388" i="5"/>
  <c r="AW400" i="5"/>
  <c r="AW415" i="5"/>
  <c r="AW429" i="5"/>
  <c r="AW180" i="5"/>
  <c r="AW268" i="5"/>
  <c r="AW329" i="5"/>
  <c r="AW362" i="5"/>
  <c r="AW376" i="5"/>
  <c r="AW391" i="5"/>
  <c r="AW407" i="5"/>
  <c r="AW317" i="5"/>
  <c r="AW352" i="5"/>
  <c r="AW369" i="5"/>
  <c r="AW385" i="5"/>
  <c r="AW411" i="5"/>
  <c r="AW168" i="5"/>
  <c r="AW334" i="5"/>
  <c r="AW371" i="5"/>
  <c r="AW427" i="5"/>
  <c r="AW445" i="5"/>
  <c r="AW469" i="5"/>
  <c r="AW489" i="5"/>
  <c r="AW502" i="5"/>
  <c r="AW518" i="5"/>
  <c r="AW331" i="5"/>
  <c r="AW408" i="5"/>
  <c r="AW435" i="5"/>
  <c r="AW456" i="5"/>
  <c r="AW472" i="5"/>
  <c r="AW490" i="5"/>
  <c r="AW501" i="5"/>
  <c r="AW272" i="5"/>
  <c r="AW399" i="5"/>
  <c r="AW453" i="5"/>
  <c r="AW468" i="5"/>
  <c r="AW478" i="5"/>
  <c r="AW504" i="5"/>
  <c r="AW514" i="5"/>
  <c r="AW543" i="5"/>
  <c r="AW550" i="5"/>
  <c r="AW559" i="5"/>
  <c r="AW416" i="5"/>
  <c r="AW479" i="5"/>
  <c r="AW509" i="5"/>
  <c r="AW50" i="5"/>
  <c r="AW74" i="5"/>
  <c r="AW124" i="5"/>
  <c r="AW171" i="5"/>
  <c r="AW186" i="5"/>
  <c r="AW242" i="5"/>
  <c r="AW277" i="5"/>
  <c r="AW292" i="5"/>
  <c r="AW300" i="5"/>
  <c r="AW231" i="5"/>
  <c r="AW401" i="5"/>
  <c r="AW298" i="5"/>
  <c r="AW393" i="5"/>
  <c r="AW373" i="5"/>
  <c r="AW344" i="5"/>
  <c r="AW481" i="5"/>
  <c r="AW357" i="5"/>
  <c r="AW448" i="5"/>
  <c r="AW485" i="5"/>
  <c r="AW517" i="5"/>
  <c r="AW452" i="5"/>
  <c r="AW477" i="5"/>
  <c r="AW512" i="5"/>
  <c r="AW549" i="5"/>
  <c r="AW392" i="5"/>
  <c r="AW506" i="5"/>
  <c r="AW539" i="5"/>
  <c r="AW554" i="5"/>
  <c r="AW465" i="5"/>
  <c r="AW526" i="5"/>
  <c r="AW555" i="5"/>
  <c r="AW358" i="5"/>
  <c r="AW395" i="5"/>
  <c r="AW430" i="5"/>
  <c r="AW467" i="5"/>
  <c r="AW537" i="5"/>
  <c r="AW440" i="5"/>
  <c r="AW500" i="5"/>
  <c r="AW534" i="5"/>
  <c r="AW68" i="5"/>
  <c r="AW107" i="5"/>
  <c r="AW106" i="5"/>
  <c r="AW125" i="5"/>
  <c r="AW206" i="5"/>
  <c r="AW213" i="5"/>
  <c r="AW309" i="5"/>
  <c r="AW325" i="5"/>
  <c r="AW323" i="5"/>
  <c r="AW330" i="5"/>
  <c r="AW420" i="5"/>
  <c r="AW333" i="5"/>
  <c r="AW409" i="5"/>
  <c r="AW390" i="5"/>
  <c r="AW379" i="5"/>
  <c r="AW493" i="5"/>
  <c r="AW422" i="5"/>
  <c r="AW458" i="5"/>
  <c r="AW491" i="5"/>
  <c r="AW302" i="5"/>
  <c r="AW457" i="5"/>
  <c r="AW480" i="5"/>
  <c r="AW524" i="5"/>
  <c r="AW551" i="5"/>
  <c r="AW463" i="5"/>
  <c r="AW520" i="5"/>
  <c r="AW541" i="5"/>
  <c r="AW441" i="5"/>
  <c r="AW484" i="5"/>
  <c r="AW533" i="5"/>
  <c r="AW532" i="5"/>
  <c r="AW365" i="5"/>
  <c r="AW413" i="5"/>
  <c r="AW432" i="5"/>
  <c r="AW511" i="5"/>
  <c r="AW556" i="5"/>
  <c r="AW446" i="5"/>
  <c r="AW503" i="5"/>
  <c r="AW538" i="5"/>
  <c r="AW80" i="5"/>
  <c r="AW108" i="5"/>
  <c r="AW137" i="5"/>
  <c r="AW170" i="5"/>
  <c r="AW227" i="5"/>
  <c r="AW236" i="5"/>
  <c r="AW203" i="5"/>
  <c r="AW253" i="5"/>
  <c r="AW343" i="5"/>
  <c r="AW374" i="5"/>
  <c r="AW433" i="5"/>
  <c r="AW367" i="5"/>
  <c r="AW339" i="5"/>
  <c r="AW414" i="5"/>
  <c r="AW431" i="5"/>
  <c r="AW508" i="5"/>
  <c r="AW434" i="5"/>
  <c r="AW464" i="5"/>
  <c r="AW497" i="5"/>
  <c r="AW363" i="5"/>
  <c r="AW462" i="5"/>
  <c r="AW498" i="5"/>
  <c r="AW531" i="5"/>
  <c r="AW557" i="5"/>
  <c r="AW476" i="5"/>
  <c r="AW528" i="5"/>
  <c r="AW542" i="5"/>
  <c r="AW444" i="5"/>
  <c r="AW495" i="5"/>
  <c r="AW545" i="5"/>
  <c r="AW536" i="5"/>
  <c r="AW377" i="5"/>
  <c r="AW426" i="5"/>
  <c r="AW454" i="5"/>
  <c r="AW523" i="5"/>
  <c r="AW558" i="5"/>
  <c r="AW449" i="5"/>
  <c r="AW521" i="5"/>
  <c r="AW544" i="5"/>
  <c r="AW76" i="5"/>
  <c r="AW207" i="5"/>
  <c r="AW354" i="5"/>
  <c r="AW353" i="5"/>
  <c r="AW442" i="5"/>
  <c r="AW471" i="5"/>
  <c r="AW482" i="5"/>
  <c r="AW519" i="5"/>
  <c r="AW428" i="5"/>
  <c r="AW470" i="5"/>
  <c r="AW35" i="5"/>
  <c r="AW281" i="5"/>
  <c r="AW522" i="5"/>
  <c r="AW204" i="5"/>
  <c r="AW389" i="5"/>
  <c r="AW132" i="5"/>
  <c r="AW254" i="5"/>
  <c r="AW394" i="5"/>
  <c r="AW256" i="5"/>
  <c r="AW475" i="5"/>
  <c r="AW505" i="5"/>
  <c r="AW535" i="5"/>
  <c r="AW552" i="5"/>
  <c r="AW461" i="5"/>
  <c r="AW527" i="5"/>
  <c r="AW123" i="5"/>
  <c r="AW266" i="5"/>
  <c r="AW226" i="5"/>
  <c r="AW450" i="5"/>
  <c r="AW515" i="5"/>
  <c r="AW546" i="5"/>
  <c r="AW547" i="5"/>
  <c r="AW540" i="5"/>
  <c r="AW529" i="5"/>
  <c r="AW19" i="5"/>
  <c r="AW155" i="5"/>
  <c r="AW381" i="5"/>
  <c r="AW423" i="5"/>
  <c r="AW455" i="5"/>
  <c r="AW560" i="5"/>
  <c r="BC7" i="5"/>
  <c r="BE7" i="5" s="1"/>
  <c r="BC344" i="5"/>
  <c r="BD344" i="5" s="1"/>
  <c r="BC302" i="5"/>
  <c r="BD302" i="5" s="1"/>
  <c r="BC227" i="5"/>
  <c r="BE227" i="5" s="1"/>
  <c r="BC256" i="5"/>
  <c r="BE256" i="5" s="1"/>
  <c r="BC282" i="5"/>
  <c r="BD282" i="5" s="1"/>
  <c r="BC240" i="5"/>
  <c r="BD240" i="5" s="1"/>
  <c r="BC235" i="5"/>
  <c r="BE235" i="5" s="1"/>
  <c r="BC236" i="5"/>
  <c r="BE236" i="5" s="1"/>
  <c r="BC118" i="5"/>
  <c r="BD118" i="5" s="1"/>
  <c r="BC115" i="5"/>
  <c r="BD115" i="5" s="1"/>
  <c r="BC169" i="5"/>
  <c r="BD169" i="5" s="1"/>
  <c r="BC107" i="5"/>
  <c r="BE107" i="5" s="1"/>
  <c r="BC111" i="5"/>
  <c r="BD111" i="5" s="1"/>
  <c r="BC103" i="5"/>
  <c r="BD103" i="5" s="1"/>
  <c r="BC83" i="5"/>
  <c r="BD83" i="5" s="1"/>
  <c r="BC53" i="5"/>
  <c r="BD53" i="5" s="1"/>
  <c r="BC39" i="5"/>
  <c r="BD39" i="5" s="1"/>
  <c r="BC38" i="5"/>
  <c r="BE38" i="5" s="1"/>
  <c r="BC8" i="5"/>
  <c r="BD8" i="5" s="1"/>
  <c r="BC373" i="5"/>
  <c r="BE373" i="5" s="1"/>
  <c r="BC351" i="5"/>
  <c r="BE351" i="5" s="1"/>
  <c r="BC309" i="5"/>
  <c r="BE309" i="5" s="1"/>
  <c r="BC241" i="5"/>
  <c r="BD241" i="5" s="1"/>
  <c r="BC269" i="5"/>
  <c r="BD269" i="5" s="1"/>
  <c r="BC288" i="5"/>
  <c r="BE288" i="5" s="1"/>
  <c r="BC191" i="5"/>
  <c r="BE191" i="5" s="1"/>
  <c r="BC242" i="5"/>
  <c r="BE242" i="5" s="1"/>
  <c r="BC179" i="5"/>
  <c r="BD179" i="5" s="1"/>
  <c r="BC136" i="5"/>
  <c r="BD136" i="5" s="1"/>
  <c r="BC134" i="5"/>
  <c r="BE134" i="5" s="1"/>
  <c r="BC177" i="5"/>
  <c r="BD177" i="5" s="1"/>
  <c r="BC119" i="5"/>
  <c r="BE119" i="5" s="1"/>
  <c r="BC117" i="5"/>
  <c r="BE117" i="5" s="1"/>
  <c r="BC94" i="5"/>
  <c r="BD94" i="5" s="1"/>
  <c r="BC89" i="5"/>
  <c r="BE89" i="5" s="1"/>
  <c r="BC75" i="5"/>
  <c r="BE75" i="5" s="1"/>
  <c r="BC52" i="5"/>
  <c r="BD52" i="5" s="1"/>
  <c r="BC44" i="5"/>
  <c r="BD44" i="5" s="1"/>
  <c r="BC34" i="5"/>
  <c r="BD34" i="5" s="1"/>
  <c r="BC206" i="5"/>
  <c r="BE206" i="5" s="1"/>
  <c r="BC314" i="5"/>
  <c r="BD314" i="5" s="1"/>
  <c r="BC251" i="5"/>
  <c r="BD251" i="5" s="1"/>
  <c r="BC284" i="5"/>
  <c r="BD284" i="5" s="1"/>
  <c r="BC300" i="5"/>
  <c r="BE300" i="5" s="1"/>
  <c r="BC223" i="5"/>
  <c r="BD223" i="5" s="1"/>
  <c r="BC178" i="5"/>
  <c r="BD178" i="5" s="1"/>
  <c r="BC195" i="5"/>
  <c r="BD195" i="5" s="1"/>
  <c r="BC174" i="5"/>
  <c r="BE174" i="5" s="1"/>
  <c r="BC156" i="5"/>
  <c r="BD156" i="5" s="1"/>
  <c r="BC141" i="5"/>
  <c r="BE141" i="5" s="1"/>
  <c r="BC137" i="5"/>
  <c r="BD137" i="5" s="1"/>
  <c r="BC125" i="5"/>
  <c r="BE125" i="5" s="1"/>
  <c r="BC114" i="5"/>
  <c r="BE114" i="5" s="1"/>
  <c r="BC92" i="5"/>
  <c r="BE92" i="5" s="1"/>
  <c r="BC47" i="5"/>
  <c r="BE47" i="5" s="1"/>
  <c r="BC51" i="5"/>
  <c r="BE51" i="5" s="1"/>
  <c r="BC32" i="5"/>
  <c r="BD32" i="5" s="1"/>
  <c r="BC45" i="5"/>
  <c r="BD45" i="5" s="1"/>
  <c r="BC326" i="5"/>
  <c r="BD326" i="5" s="1"/>
  <c r="BC274" i="5"/>
  <c r="BE274" i="5" s="1"/>
  <c r="BC219" i="5"/>
  <c r="BD219" i="5" s="1"/>
  <c r="BC197" i="5"/>
  <c r="BE197" i="5" s="1"/>
  <c r="BC132" i="5"/>
  <c r="BE132" i="5" s="1"/>
  <c r="BC81" i="5"/>
  <c r="BE81" i="5" s="1"/>
  <c r="BC80" i="5"/>
  <c r="BE80" i="5" s="1"/>
  <c r="BC70" i="5"/>
  <c r="BE70" i="5" s="1"/>
  <c r="BC68" i="5"/>
  <c r="BD68" i="5" s="1"/>
  <c r="BC43" i="5"/>
  <c r="BD43" i="5" s="1"/>
  <c r="O12" i="5"/>
  <c r="BC352" i="5"/>
  <c r="BD352" i="5" s="1"/>
  <c r="BC339" i="5"/>
  <c r="BE339" i="5" s="1"/>
  <c r="BC295" i="5"/>
  <c r="BD295" i="5" s="1"/>
  <c r="BC188" i="5"/>
  <c r="BE188" i="5" s="1"/>
  <c r="BC247" i="5"/>
  <c r="BD247" i="5" s="1"/>
  <c r="BC279" i="5"/>
  <c r="BE279" i="5" s="1"/>
  <c r="BC237" i="5"/>
  <c r="BD237" i="5" s="1"/>
  <c r="BC226" i="5"/>
  <c r="BE226" i="5" s="1"/>
  <c r="BC230" i="5"/>
  <c r="BD230" i="5" s="1"/>
  <c r="BC201" i="5"/>
  <c r="BD201" i="5" s="1"/>
  <c r="BC180" i="5"/>
  <c r="BE180" i="5" s="1"/>
  <c r="BC163" i="5"/>
  <c r="BD163" i="5" s="1"/>
  <c r="BC154" i="5"/>
  <c r="BE154" i="5" s="1"/>
  <c r="BC100" i="5"/>
  <c r="BD100" i="5" s="1"/>
  <c r="BC86" i="5"/>
  <c r="BD86" i="5" s="1"/>
  <c r="BC84" i="5"/>
  <c r="BD84" i="5" s="1"/>
  <c r="BC78" i="5"/>
  <c r="BD78" i="5" s="1"/>
  <c r="BC21" i="5"/>
  <c r="BD21" i="5" s="1"/>
  <c r="BC30" i="5"/>
  <c r="BD30" i="5" s="1"/>
  <c r="BC369" i="5"/>
  <c r="BE369" i="5" s="1"/>
  <c r="BC346" i="5"/>
  <c r="BE346" i="5" s="1"/>
  <c r="BC306" i="5"/>
  <c r="BD306" i="5" s="1"/>
  <c r="BC232" i="5"/>
  <c r="BE232" i="5" s="1"/>
  <c r="BC262" i="5"/>
  <c r="BD262" i="5" s="1"/>
  <c r="BC285" i="5"/>
  <c r="BD285" i="5" s="1"/>
  <c r="BC189" i="5"/>
  <c r="BD189" i="5" s="1"/>
  <c r="BC238" i="5"/>
  <c r="BE238" i="5" s="1"/>
  <c r="BC243" i="5"/>
  <c r="BD243" i="5" s="1"/>
  <c r="BC130" i="5"/>
  <c r="BD130" i="5" s="1"/>
  <c r="BC122" i="5"/>
  <c r="BE122" i="5" s="1"/>
  <c r="BC175" i="5"/>
  <c r="BD175" i="5" s="1"/>
  <c r="BC113" i="5"/>
  <c r="BD113" i="5" s="1"/>
  <c r="BC112" i="5"/>
  <c r="BE112" i="5" s="1"/>
  <c r="BC109" i="5"/>
  <c r="BD109" i="5" s="1"/>
  <c r="BC88" i="5"/>
  <c r="BE88" i="5" s="1"/>
  <c r="BC71" i="5"/>
  <c r="BD71" i="5" s="1"/>
  <c r="BC48" i="5"/>
  <c r="BE48" i="5" s="1"/>
  <c r="BC41" i="5"/>
  <c r="BE41" i="5" s="1"/>
  <c r="BC29" i="5"/>
  <c r="BD29" i="5" s="1"/>
  <c r="BC332" i="5"/>
  <c r="BD332" i="5" s="1"/>
  <c r="BC283" i="5"/>
  <c r="BE283" i="5" s="1"/>
  <c r="BC157" i="5"/>
  <c r="BE157" i="5" s="1"/>
  <c r="BC231" i="5"/>
  <c r="BD231" i="5" s="1"/>
  <c r="BC221" i="5"/>
  <c r="BE221" i="5" s="1"/>
  <c r="BC172" i="5"/>
  <c r="BE172" i="5" s="1"/>
  <c r="BC147" i="5"/>
  <c r="BD147" i="5" s="1"/>
  <c r="BC105" i="5"/>
  <c r="BD105" i="5" s="1"/>
  <c r="BC322" i="5"/>
  <c r="BD322" i="5" s="1"/>
  <c r="BC263" i="5"/>
  <c r="BD263" i="5" s="1"/>
  <c r="BC298" i="5"/>
  <c r="BD298" i="5" s="1"/>
  <c r="BC313" i="5"/>
  <c r="BD313" i="5" s="1"/>
  <c r="BC261" i="5"/>
  <c r="BE261" i="5" s="1"/>
  <c r="BC199" i="5"/>
  <c r="BE199" i="5" s="1"/>
  <c r="BC210" i="5"/>
  <c r="BD210" i="5" s="1"/>
  <c r="BC208" i="5"/>
  <c r="BD208" i="5" s="1"/>
  <c r="BC168" i="5"/>
  <c r="BD168" i="5" s="1"/>
  <c r="BC159" i="5"/>
  <c r="BD159" i="5" s="1"/>
  <c r="BC145" i="5"/>
  <c r="BD145" i="5" s="1"/>
  <c r="BC133" i="5"/>
  <c r="BD133" i="5" s="1"/>
  <c r="BC131" i="5"/>
  <c r="BD131" i="5" s="1"/>
  <c r="BC97" i="5"/>
  <c r="BD97" i="5" s="1"/>
  <c r="BC65" i="5"/>
  <c r="BE65" i="5" s="1"/>
  <c r="BC61" i="5"/>
  <c r="BE61" i="5" s="1"/>
  <c r="BC56" i="5"/>
  <c r="BE56" i="5" s="1"/>
  <c r="BC26" i="5"/>
  <c r="BD26" i="5" s="1"/>
  <c r="BC411" i="5"/>
  <c r="BE411" i="5" s="1"/>
  <c r="BC316" i="5"/>
  <c r="BD316" i="5" s="1"/>
  <c r="BC329" i="5"/>
  <c r="BD329" i="5" s="1"/>
  <c r="BC268" i="5"/>
  <c r="BE268" i="5" s="1"/>
  <c r="BC317" i="5"/>
  <c r="BE317" i="5" s="1"/>
  <c r="BC323" i="5"/>
  <c r="BD323" i="5" s="1"/>
  <c r="BC266" i="5"/>
  <c r="BE266" i="5" s="1"/>
  <c r="BC202" i="5"/>
  <c r="BE202" i="5" s="1"/>
  <c r="BC214" i="5"/>
  <c r="BE214" i="5" s="1"/>
  <c r="BC213" i="5"/>
  <c r="BE213" i="5" s="1"/>
  <c r="BC183" i="5"/>
  <c r="BE183" i="5" s="1"/>
  <c r="BC166" i="5"/>
  <c r="BD166" i="5" s="1"/>
  <c r="BC101" i="5"/>
  <c r="BD101" i="5" s="1"/>
  <c r="BC138" i="5"/>
  <c r="BD138" i="5" s="1"/>
  <c r="BC144" i="5"/>
  <c r="BD144" i="5" s="1"/>
  <c r="BC74" i="5"/>
  <c r="BD74" i="5" s="1"/>
  <c r="BC76" i="5"/>
  <c r="BE76" i="5" s="1"/>
  <c r="BC54" i="5"/>
  <c r="BE54" i="5" s="1"/>
  <c r="BC64" i="5"/>
  <c r="BE64" i="5" s="1"/>
  <c r="BC31" i="5"/>
  <c r="BE31" i="5" s="1"/>
  <c r="BC338" i="5"/>
  <c r="BD338" i="5" s="1"/>
  <c r="BC337" i="5"/>
  <c r="BD337" i="5" s="1"/>
  <c r="BC287" i="5"/>
  <c r="BD287" i="5" s="1"/>
  <c r="BC331" i="5"/>
  <c r="BD331" i="5" s="1"/>
  <c r="BC207" i="5"/>
  <c r="BD207" i="5" s="1"/>
  <c r="BC276" i="5"/>
  <c r="BD276" i="5" s="1"/>
  <c r="BC234" i="5"/>
  <c r="BE234" i="5" s="1"/>
  <c r="BC222" i="5"/>
  <c r="BD222" i="5" s="1"/>
  <c r="BC225" i="5"/>
  <c r="BD225" i="5" s="1"/>
  <c r="BC198" i="5"/>
  <c r="BE198" i="5" s="1"/>
  <c r="BC176" i="5"/>
  <c r="BD176" i="5" s="1"/>
  <c r="BC160" i="5"/>
  <c r="BD160" i="5" s="1"/>
  <c r="BC149" i="5"/>
  <c r="BE149" i="5" s="1"/>
  <c r="BC85" i="5"/>
  <c r="BE85" i="5" s="1"/>
  <c r="BC108" i="5"/>
  <c r="BD108" i="5" s="1"/>
  <c r="BC82" i="5"/>
  <c r="BD82" i="5" s="1"/>
  <c r="BC72" i="5"/>
  <c r="BD72" i="5" s="1"/>
  <c r="BC73" i="5"/>
  <c r="BD73" i="5" s="1"/>
  <c r="B198" i="2"/>
  <c r="BC25" i="5"/>
  <c r="BC42" i="5"/>
  <c r="BC58" i="5"/>
  <c r="BC62" i="5"/>
  <c r="BC96" i="5"/>
  <c r="BC129" i="5"/>
  <c r="BC128" i="5"/>
  <c r="BC142" i="5"/>
  <c r="BC153" i="5"/>
  <c r="BC162" i="5"/>
  <c r="BC205" i="5"/>
  <c r="BC204" i="5"/>
  <c r="BC186" i="5"/>
  <c r="BC259" i="5"/>
  <c r="BC307" i="5"/>
  <c r="BC294" i="5"/>
  <c r="BC257" i="5"/>
  <c r="BC320" i="5"/>
  <c r="BC358" i="5"/>
  <c r="BC335" i="5"/>
  <c r="BC383" i="5"/>
  <c r="BC410" i="5"/>
  <c r="BC428" i="5"/>
  <c r="BC440" i="5"/>
  <c r="BC277" i="5"/>
  <c r="BC345" i="5"/>
  <c r="BC361" i="5"/>
  <c r="BC375" i="5"/>
  <c r="BC386" i="5"/>
  <c r="BC399" i="5"/>
  <c r="BC417" i="5"/>
  <c r="BC245" i="5"/>
  <c r="BC280" i="5"/>
  <c r="BC333" i="5"/>
  <c r="BC342" i="5"/>
  <c r="BC364" i="5"/>
  <c r="BC378" i="5"/>
  <c r="BC398" i="5"/>
  <c r="BC416" i="5"/>
  <c r="BC368" i="5"/>
  <c r="BC452" i="5"/>
  <c r="BC460" i="5"/>
  <c r="BC478" i="5"/>
  <c r="BC504" i="5"/>
  <c r="BC531" i="5"/>
  <c r="BC382" i="5"/>
  <c r="BC403" i="5"/>
  <c r="BC429" i="5"/>
  <c r="BC461" i="5"/>
  <c r="BC468" i="5"/>
  <c r="BC480" i="5"/>
  <c r="BC507" i="5"/>
  <c r="BC516" i="5"/>
  <c r="BC353" i="5"/>
  <c r="BC405" i="5"/>
  <c r="BC441" i="5"/>
  <c r="BC453" i="5"/>
  <c r="BC466" i="5"/>
  <c r="BC479" i="5"/>
  <c r="BC488" i="5"/>
  <c r="BC494" i="5"/>
  <c r="BC502" i="5"/>
  <c r="BC509" i="5"/>
  <c r="BC522" i="5"/>
  <c r="BC545" i="5"/>
  <c r="BC229" i="5"/>
  <c r="BC425" i="5"/>
  <c r="BC513" i="5"/>
  <c r="BC529" i="5"/>
  <c r="BC548" i="5"/>
  <c r="BC558" i="5"/>
  <c r="BC448" i="5"/>
  <c r="BC544" i="5"/>
  <c r="BC407" i="5"/>
  <c r="BC501" i="5"/>
  <c r="BC541" i="5"/>
  <c r="BC559" i="5"/>
  <c r="BC464" i="5"/>
  <c r="BC19" i="5"/>
  <c r="BC67" i="5"/>
  <c r="BC57" i="5"/>
  <c r="BC77" i="5"/>
  <c r="BC102" i="5"/>
  <c r="BC151" i="5"/>
  <c r="BC146" i="5"/>
  <c r="BC104" i="5"/>
  <c r="BC170" i="5"/>
  <c r="BC187" i="5"/>
  <c r="BC216" i="5"/>
  <c r="BC217" i="5"/>
  <c r="BC215" i="5"/>
  <c r="BC271" i="5"/>
  <c r="BC327" i="5"/>
  <c r="BC321" i="5"/>
  <c r="BC275" i="5"/>
  <c r="BC330" i="5"/>
  <c r="BC224" i="5"/>
  <c r="BC360" i="5"/>
  <c r="BC385" i="5"/>
  <c r="BC414" i="5"/>
  <c r="BC431" i="5"/>
  <c r="BC250" i="5"/>
  <c r="BC293" i="5"/>
  <c r="BC350" i="5"/>
  <c r="BC363" i="5"/>
  <c r="BC377" i="5"/>
  <c r="BC389" i="5"/>
  <c r="BC402" i="5"/>
  <c r="BC418" i="5"/>
  <c r="BC254" i="5"/>
  <c r="BC286" i="5"/>
  <c r="BC336" i="5"/>
  <c r="BC348" i="5"/>
  <c r="BC366" i="5"/>
  <c r="BC379" i="5"/>
  <c r="BC400" i="5"/>
  <c r="BC311" i="5"/>
  <c r="BC401" i="5"/>
  <c r="BC457" i="5"/>
  <c r="BC471" i="5"/>
  <c r="BC490" i="5"/>
  <c r="BC515" i="5"/>
  <c r="BC532" i="5"/>
  <c r="BC391" i="5"/>
  <c r="BC412" i="5"/>
  <c r="BC439" i="5"/>
  <c r="BC462" i="5"/>
  <c r="BC470" i="5"/>
  <c r="BC484" i="5"/>
  <c r="BC511" i="5"/>
  <c r="BC519" i="5"/>
  <c r="BC381" i="5"/>
  <c r="BC430" i="5"/>
  <c r="BC443" i="5"/>
  <c r="BC454" i="5"/>
  <c r="BC469" i="5"/>
  <c r="BC482" i="5"/>
  <c r="BC489" i="5"/>
  <c r="BC495" i="5"/>
  <c r="BC503" i="5"/>
  <c r="BC510" i="5"/>
  <c r="BC523" i="5"/>
  <c r="BC554" i="5"/>
  <c r="BC297" i="5"/>
  <c r="BC449" i="5"/>
  <c r="BC517" i="5"/>
  <c r="BC534" i="5"/>
  <c r="BC553" i="5"/>
  <c r="BC433" i="5"/>
  <c r="BC524" i="5"/>
  <c r="BC549" i="5"/>
  <c r="BC424" i="5"/>
  <c r="BC528" i="5"/>
  <c r="BC542" i="5"/>
  <c r="BC372" i="5"/>
  <c r="BC483" i="5"/>
  <c r="BC33" i="5"/>
  <c r="BC28" i="5"/>
  <c r="BC49" i="5"/>
  <c r="BC93" i="5"/>
  <c r="BC87" i="5"/>
  <c r="BC106" i="5"/>
  <c r="BC155" i="5"/>
  <c r="BC167" i="5"/>
  <c r="BC185" i="5"/>
  <c r="BC203" i="5"/>
  <c r="BC233" i="5"/>
  <c r="BC228" i="5"/>
  <c r="BC239" i="5"/>
  <c r="BC281" i="5"/>
  <c r="BC253" i="5"/>
  <c r="BC192" i="5"/>
  <c r="BC301" i="5"/>
  <c r="BC343" i="5"/>
  <c r="BC258" i="5"/>
  <c r="BC367" i="5"/>
  <c r="BC404" i="5"/>
  <c r="BC420" i="5"/>
  <c r="BC435" i="5"/>
  <c r="BC252" i="5"/>
  <c r="BC304" i="5"/>
  <c r="BC356" i="5"/>
  <c r="BC365" i="5"/>
  <c r="BC380" i="5"/>
  <c r="BC390" i="5"/>
  <c r="BC408" i="5"/>
  <c r="BC419" i="5"/>
  <c r="BC267" i="5"/>
  <c r="BC289" i="5"/>
  <c r="BC340" i="5"/>
  <c r="BC349" i="5"/>
  <c r="BC371" i="5"/>
  <c r="BC388" i="5"/>
  <c r="BC406" i="5"/>
  <c r="BC354" i="5"/>
  <c r="BC422" i="5"/>
  <c r="BC458" i="5"/>
  <c r="BC472" i="5"/>
  <c r="BC496" i="5"/>
  <c r="BC525" i="5"/>
  <c r="BC270" i="5"/>
  <c r="BC394" i="5"/>
  <c r="BC426" i="5"/>
  <c r="BC446" i="5"/>
  <c r="BC465" i="5"/>
  <c r="BC474" i="5"/>
  <c r="BC498" i="5"/>
  <c r="BC512" i="5"/>
  <c r="BC308" i="5"/>
  <c r="BC387" i="5"/>
  <c r="BC432" i="5"/>
  <c r="BC444" i="5"/>
  <c r="BC455" i="5"/>
  <c r="BC473" i="5"/>
  <c r="BC486" i="5"/>
  <c r="BC492" i="5"/>
  <c r="BC499" i="5"/>
  <c r="BC505" i="5"/>
  <c r="BC518" i="5"/>
  <c r="BC530" i="5"/>
  <c r="BC555" i="5"/>
  <c r="BC328" i="5"/>
  <c r="BC456" i="5"/>
  <c r="BC521" i="5"/>
  <c r="BC536" i="5"/>
  <c r="BC557" i="5"/>
  <c r="BC437" i="5"/>
  <c r="BC538" i="5"/>
  <c r="BC550" i="5"/>
  <c r="BC481" i="5"/>
  <c r="BC533" i="5"/>
  <c r="BC547" i="5"/>
  <c r="BC438" i="5"/>
  <c r="BC537" i="5"/>
  <c r="BC36" i="5"/>
  <c r="BC46" i="5"/>
  <c r="BC63" i="5"/>
  <c r="BC79" i="5"/>
  <c r="BC90" i="5"/>
  <c r="BC99" i="5"/>
  <c r="BC120" i="5"/>
  <c r="BC124" i="5"/>
  <c r="BC181" i="5"/>
  <c r="BC143" i="5"/>
  <c r="BC165" i="5"/>
  <c r="BC182" i="5"/>
  <c r="BC244" i="5"/>
  <c r="BC193" i="5"/>
  <c r="BC291" i="5"/>
  <c r="BC272" i="5"/>
  <c r="BC248" i="5"/>
  <c r="BC310" i="5"/>
  <c r="BC357" i="5"/>
  <c r="BC319" i="5"/>
  <c r="BC376" i="5"/>
  <c r="BC409" i="5"/>
  <c r="BC423" i="5"/>
  <c r="BC436" i="5"/>
  <c r="BC260" i="5"/>
  <c r="BC334" i="5"/>
  <c r="BC359" i="5"/>
  <c r="BC370" i="5"/>
  <c r="BC384" i="5"/>
  <c r="BC392" i="5"/>
  <c r="BC413" i="5"/>
  <c r="BC209" i="5"/>
  <c r="BC273" i="5"/>
  <c r="BC292" i="5"/>
  <c r="BC341" i="5"/>
  <c r="BC355" i="5"/>
  <c r="BC374" i="5"/>
  <c r="BC395" i="5"/>
  <c r="BC415" i="5"/>
  <c r="BC362" i="5"/>
  <c r="BC442" i="5"/>
  <c r="BC459" i="5"/>
  <c r="BC475" i="5"/>
  <c r="BC497" i="5"/>
  <c r="BC526" i="5"/>
  <c r="BC325" i="5"/>
  <c r="BC397" i="5"/>
  <c r="BC427" i="5"/>
  <c r="BC447" i="5"/>
  <c r="BC467" i="5"/>
  <c r="BC477" i="5"/>
  <c r="BC506" i="5"/>
  <c r="BC514" i="5"/>
  <c r="BC347" i="5"/>
  <c r="BC396" i="5"/>
  <c r="BC434" i="5"/>
  <c r="BC451" i="5"/>
  <c r="BC463" i="5"/>
  <c r="BC476" i="5"/>
  <c r="BC487" i="5"/>
  <c r="BC493" i="5"/>
  <c r="BC500" i="5"/>
  <c r="BC508" i="5"/>
  <c r="BC520" i="5"/>
  <c r="BC539" i="5"/>
  <c r="BC556" i="5"/>
  <c r="BC421" i="5"/>
  <c r="BC485" i="5"/>
  <c r="BC527" i="5"/>
  <c r="BC540" i="5"/>
  <c r="BC560" i="5"/>
  <c r="BC445" i="5"/>
  <c r="BC543" i="5"/>
  <c r="BC551" i="5"/>
  <c r="BC491" i="5"/>
  <c r="BC535" i="5"/>
  <c r="BC552" i="5"/>
  <c r="BC450" i="5"/>
  <c r="BC546" i="5"/>
  <c r="AZ26" i="5"/>
  <c r="AZ48" i="5"/>
  <c r="AZ33" i="5"/>
  <c r="AZ46" i="5"/>
  <c r="AZ32" i="5"/>
  <c r="AZ45" i="5"/>
  <c r="AZ34" i="5"/>
  <c r="AZ59" i="5"/>
  <c r="AZ36" i="5"/>
  <c r="AZ54" i="5"/>
  <c r="AZ65" i="5"/>
  <c r="AZ40" i="5"/>
  <c r="AZ58" i="5"/>
  <c r="AZ83" i="5"/>
  <c r="AZ70" i="5"/>
  <c r="AZ81" i="5"/>
  <c r="AZ99" i="5"/>
  <c r="AZ84" i="5"/>
  <c r="AZ95" i="5"/>
  <c r="AZ107" i="5"/>
  <c r="AZ111" i="5"/>
  <c r="AZ120" i="5"/>
  <c r="AZ135" i="5"/>
  <c r="AZ152" i="5"/>
  <c r="AZ115" i="5"/>
  <c r="AZ130" i="5"/>
  <c r="AZ141" i="5"/>
  <c r="AZ157" i="5"/>
  <c r="AZ102" i="5"/>
  <c r="AZ114" i="5"/>
  <c r="AZ131" i="5"/>
  <c r="AZ147" i="5"/>
  <c r="AZ155" i="5"/>
  <c r="AZ164" i="5"/>
  <c r="AZ176" i="5"/>
  <c r="AZ156" i="5"/>
  <c r="AZ183" i="5"/>
  <c r="AZ170" i="5"/>
  <c r="AZ188" i="5"/>
  <c r="AZ205" i="5"/>
  <c r="AZ148" i="5"/>
  <c r="AZ195" i="5"/>
  <c r="AZ214" i="5"/>
  <c r="AZ226" i="5"/>
  <c r="AZ240" i="5"/>
  <c r="AZ197" i="5"/>
  <c r="AZ231" i="5"/>
  <c r="AZ169" i="5"/>
  <c r="AZ187" i="5"/>
  <c r="AZ198" i="5"/>
  <c r="AZ216" i="5"/>
  <c r="AZ224" i="5"/>
  <c r="AZ241" i="5"/>
  <c r="AZ233" i="5"/>
  <c r="AZ253" i="5"/>
  <c r="AZ272" i="5"/>
  <c r="AZ294" i="5"/>
  <c r="AZ310" i="5"/>
  <c r="AZ329" i="5"/>
  <c r="AZ225" i="5"/>
  <c r="AZ251" i="5"/>
  <c r="AZ263" i="5"/>
  <c r="AZ280" i="5"/>
  <c r="AZ295" i="5"/>
  <c r="AZ312" i="5"/>
  <c r="AZ322" i="5"/>
  <c r="AZ213" i="5"/>
  <c r="AZ252" i="5"/>
  <c r="AZ270" i="5"/>
  <c r="AZ282" i="5"/>
  <c r="AZ297" i="5"/>
  <c r="AZ311" i="5"/>
  <c r="AZ328" i="5"/>
  <c r="AZ347" i="5"/>
  <c r="AZ246" i="5"/>
  <c r="AZ313" i="5"/>
  <c r="AZ345" i="5"/>
  <c r="AZ357" i="5"/>
  <c r="AZ370" i="5"/>
  <c r="AZ380" i="5"/>
  <c r="AZ392" i="5"/>
  <c r="AZ413" i="5"/>
  <c r="AZ427" i="5"/>
  <c r="AZ271" i="5"/>
  <c r="AZ341" i="5"/>
  <c r="O13" i="5"/>
  <c r="AC13" i="5" s="1"/>
  <c r="AZ22" i="5"/>
  <c r="AZ31" i="5"/>
  <c r="AZ20" i="5"/>
  <c r="AZ38" i="5"/>
  <c r="AZ21" i="5"/>
  <c r="AZ35" i="5"/>
  <c r="AZ52" i="5"/>
  <c r="AZ51" i="5"/>
  <c r="AZ61" i="5"/>
  <c r="AZ47" i="5"/>
  <c r="AZ56" i="5"/>
  <c r="AZ71" i="5"/>
  <c r="AZ60" i="5"/>
  <c r="AZ68" i="5"/>
  <c r="AZ88" i="5"/>
  <c r="AZ72" i="5"/>
  <c r="AZ85" i="5"/>
  <c r="AZ101" i="5"/>
  <c r="AZ89" i="5"/>
  <c r="AZ96" i="5"/>
  <c r="AZ97" i="5"/>
  <c r="AZ112" i="5"/>
  <c r="AZ125" i="5"/>
  <c r="AZ138" i="5"/>
  <c r="AZ158" i="5"/>
  <c r="AZ116" i="5"/>
  <c r="AZ132" i="5"/>
  <c r="AZ143" i="5"/>
  <c r="AZ64" i="5"/>
  <c r="AZ105" i="5"/>
  <c r="AZ121" i="5"/>
  <c r="AZ133" i="5"/>
  <c r="AZ150" i="5"/>
  <c r="AZ113" i="5"/>
  <c r="AZ166" i="5"/>
  <c r="AZ180" i="5"/>
  <c r="AZ173" i="5"/>
  <c r="AZ119" i="5"/>
  <c r="AZ171" i="5"/>
  <c r="AZ191" i="5"/>
  <c r="AZ207" i="5"/>
  <c r="AZ160" i="5"/>
  <c r="AZ203" i="5"/>
  <c r="AZ217" i="5"/>
  <c r="AZ228" i="5"/>
  <c r="AZ242" i="5"/>
  <c r="AZ199" i="5"/>
  <c r="AZ234" i="5"/>
  <c r="AZ172" i="5"/>
  <c r="AZ189" i="5"/>
  <c r="AZ201" i="5"/>
  <c r="AZ218" i="5"/>
  <c r="AZ227" i="5"/>
  <c r="AZ163" i="5"/>
  <c r="AZ236" i="5"/>
  <c r="AZ256" i="5"/>
  <c r="AZ278" i="5"/>
  <c r="AZ298" i="5"/>
  <c r="AZ317" i="5"/>
  <c r="AZ330" i="5"/>
  <c r="AZ230" i="5"/>
  <c r="AZ254" i="5"/>
  <c r="AZ265" i="5"/>
  <c r="AZ283" i="5"/>
  <c r="AZ301" i="5"/>
  <c r="AZ314" i="5"/>
  <c r="AZ324" i="5"/>
  <c r="AZ221" i="5"/>
  <c r="AZ258" i="5"/>
  <c r="AZ273" i="5"/>
  <c r="AZ286" i="5"/>
  <c r="AZ299" i="5"/>
  <c r="AZ316" i="5"/>
  <c r="AZ333" i="5"/>
  <c r="AZ353" i="5"/>
  <c r="AZ281" i="5"/>
  <c r="AZ327" i="5"/>
  <c r="AZ346" i="5"/>
  <c r="AZ359" i="5"/>
  <c r="AZ371" i="5"/>
  <c r="AZ384" i="5"/>
  <c r="AZ399" i="5"/>
  <c r="AZ416" i="5"/>
  <c r="AZ8" i="5"/>
  <c r="AZ23" i="5"/>
  <c r="AZ29" i="5"/>
  <c r="AZ41" i="5"/>
  <c r="AZ24" i="5"/>
  <c r="AZ39" i="5"/>
  <c r="AZ63" i="5"/>
  <c r="AZ53" i="5"/>
  <c r="AZ66" i="5"/>
  <c r="AZ49" i="5"/>
  <c r="AZ57" i="5"/>
  <c r="AZ75" i="5"/>
  <c r="AZ76" i="5"/>
  <c r="AZ73" i="5"/>
  <c r="AZ91" i="5"/>
  <c r="AZ82" i="5"/>
  <c r="AZ93" i="5"/>
  <c r="AZ104" i="5"/>
  <c r="AZ90" i="5"/>
  <c r="AZ98" i="5"/>
  <c r="AZ103" i="5"/>
  <c r="AZ117" i="5"/>
  <c r="AZ126" i="5"/>
  <c r="AZ146" i="5"/>
  <c r="AZ161" i="5"/>
  <c r="AZ122" i="5"/>
  <c r="AZ134" i="5"/>
  <c r="AZ145" i="5"/>
  <c r="AZ80" i="5"/>
  <c r="AZ108" i="5"/>
  <c r="AZ123" i="5"/>
  <c r="AZ140" i="5"/>
  <c r="AZ151" i="5"/>
  <c r="AZ139" i="5"/>
  <c r="AZ168" i="5"/>
  <c r="AZ185" i="5"/>
  <c r="AZ178" i="5"/>
  <c r="AZ137" i="5"/>
  <c r="AZ182" i="5"/>
  <c r="AZ196" i="5"/>
  <c r="AZ124" i="5"/>
  <c r="AZ162" i="5"/>
  <c r="AZ204" i="5"/>
  <c r="AZ219" i="5"/>
  <c r="AZ235" i="5"/>
  <c r="AZ244" i="5"/>
  <c r="AZ202" i="5"/>
  <c r="AZ237" i="5"/>
  <c r="AZ175" i="5"/>
  <c r="AZ192" i="5"/>
  <c r="AZ206" i="5"/>
  <c r="AZ220" i="5"/>
  <c r="AZ229" i="5"/>
  <c r="AZ208" i="5"/>
  <c r="AZ243" i="5"/>
  <c r="AZ262" i="5"/>
  <c r="AZ284" i="5"/>
  <c r="AZ302" i="5"/>
  <c r="AZ321" i="5"/>
  <c r="AZ331" i="5"/>
  <c r="AZ248" i="5"/>
  <c r="AZ255" i="5"/>
  <c r="AZ268" i="5"/>
  <c r="AZ287" i="5"/>
  <c r="AZ306" i="5"/>
  <c r="AZ315" i="5"/>
  <c r="AZ332" i="5"/>
  <c r="AZ245" i="5"/>
  <c r="AZ260" i="5"/>
  <c r="AZ276" i="5"/>
  <c r="AZ289" i="5"/>
  <c r="AZ304" i="5"/>
  <c r="AZ319" i="5"/>
  <c r="AZ334" i="5"/>
  <c r="AZ355" i="5"/>
  <c r="AZ296" i="5"/>
  <c r="AZ337" i="5"/>
  <c r="AZ350" i="5"/>
  <c r="AZ363" i="5"/>
  <c r="AZ377" i="5"/>
  <c r="AZ389" i="5"/>
  <c r="AZ408" i="5"/>
  <c r="AZ419" i="5"/>
  <c r="AZ434" i="5"/>
  <c r="AZ25" i="5"/>
  <c r="AZ43" i="5"/>
  <c r="AZ30" i="5"/>
  <c r="AZ44" i="5"/>
  <c r="AZ28" i="5"/>
  <c r="AZ42" i="5"/>
  <c r="AZ69" i="5"/>
  <c r="AZ55" i="5"/>
  <c r="AZ27" i="5"/>
  <c r="AZ50" i="5"/>
  <c r="AZ62" i="5"/>
  <c r="AZ79" i="5"/>
  <c r="AZ77" i="5"/>
  <c r="AZ74" i="5"/>
  <c r="AZ67" i="5"/>
  <c r="AZ78" i="5"/>
  <c r="AZ94" i="5"/>
  <c r="AZ109" i="5"/>
  <c r="AZ92" i="5"/>
  <c r="AZ100" i="5"/>
  <c r="AZ106" i="5"/>
  <c r="AZ118" i="5"/>
  <c r="AZ128" i="5"/>
  <c r="AZ149" i="5"/>
  <c r="AZ87" i="5"/>
  <c r="AZ127" i="5"/>
  <c r="AZ136" i="5"/>
  <c r="AZ153" i="5"/>
  <c r="AZ86" i="5"/>
  <c r="AZ110" i="5"/>
  <c r="AZ129" i="5"/>
  <c r="AZ144" i="5"/>
  <c r="AZ154" i="5"/>
  <c r="AZ159" i="5"/>
  <c r="AZ174" i="5"/>
  <c r="AZ186" i="5"/>
  <c r="AZ179" i="5"/>
  <c r="AZ165" i="5"/>
  <c r="AZ184" i="5"/>
  <c r="AZ200" i="5"/>
  <c r="AZ142" i="5"/>
  <c r="AZ194" i="5"/>
  <c r="AZ210" i="5"/>
  <c r="AZ222" i="5"/>
  <c r="AZ238" i="5"/>
  <c r="AZ167" i="5"/>
  <c r="AZ215" i="5"/>
  <c r="AZ239" i="5"/>
  <c r="AZ181" i="5"/>
  <c r="AZ193" i="5"/>
  <c r="AZ209" i="5"/>
  <c r="AZ223" i="5"/>
  <c r="AZ232" i="5"/>
  <c r="AZ211" i="5"/>
  <c r="AZ247" i="5"/>
  <c r="AZ269" i="5"/>
  <c r="AZ290" i="5"/>
  <c r="AZ305" i="5"/>
  <c r="AZ326" i="5"/>
  <c r="AZ177" i="5"/>
  <c r="AZ249" i="5"/>
  <c r="AZ257" i="5"/>
  <c r="AZ275" i="5"/>
  <c r="AZ293" i="5"/>
  <c r="AZ309" i="5"/>
  <c r="AZ320" i="5"/>
  <c r="AZ190" i="5"/>
  <c r="AZ250" i="5"/>
  <c r="AZ267" i="5"/>
  <c r="AZ277" i="5"/>
  <c r="AZ292" i="5"/>
  <c r="AZ308" i="5"/>
  <c r="AZ325" i="5"/>
  <c r="AZ340" i="5"/>
  <c r="AZ212" i="5"/>
  <c r="AZ307" i="5"/>
  <c r="AZ344" i="5"/>
  <c r="AZ356" i="5"/>
  <c r="AZ365" i="5"/>
  <c r="AZ379" i="5"/>
  <c r="AZ390" i="5"/>
  <c r="AZ412" i="5"/>
  <c r="AZ426" i="5"/>
  <c r="AZ318" i="5"/>
  <c r="AZ349" i="5"/>
  <c r="AZ366" i="5"/>
  <c r="AZ394" i="5"/>
  <c r="AZ406" i="5"/>
  <c r="AZ264" i="5"/>
  <c r="AZ343" i="5"/>
  <c r="AZ376" i="5"/>
  <c r="AZ387" i="5"/>
  <c r="AZ401" i="5"/>
  <c r="AZ409" i="5"/>
  <c r="AZ385" i="5"/>
  <c r="AZ440" i="5"/>
  <c r="AZ461" i="5"/>
  <c r="AZ476" i="5"/>
  <c r="AZ482" i="5"/>
  <c r="AZ500" i="5"/>
  <c r="AZ512" i="5"/>
  <c r="AZ288" i="5"/>
  <c r="AZ418" i="5"/>
  <c r="AZ441" i="5"/>
  <c r="AZ451" i="5"/>
  <c r="AZ466" i="5"/>
  <c r="AZ487" i="5"/>
  <c r="AZ494" i="5"/>
  <c r="AZ508" i="5"/>
  <c r="AZ518" i="5"/>
  <c r="AZ335" i="5"/>
  <c r="AZ393" i="5"/>
  <c r="AZ417" i="5"/>
  <c r="AZ425" i="5"/>
  <c r="AZ442" i="5"/>
  <c r="AZ458" i="5"/>
  <c r="AZ483" i="5"/>
  <c r="AZ496" i="5"/>
  <c r="AZ527" i="5"/>
  <c r="AZ538" i="5"/>
  <c r="AZ547" i="5"/>
  <c r="AZ279" i="5"/>
  <c r="AZ423" i="5"/>
  <c r="AZ532" i="5"/>
  <c r="AZ556" i="5"/>
  <c r="AZ516" i="5"/>
  <c r="AZ535" i="5"/>
  <c r="AZ551" i="5"/>
  <c r="AZ383" i="5"/>
  <c r="AZ475" i="5"/>
  <c r="AZ504" i="5"/>
  <c r="AZ555" i="5"/>
  <c r="AZ497" i="5"/>
  <c r="AZ543" i="5"/>
  <c r="AZ432" i="5"/>
  <c r="AZ336" i="5"/>
  <c r="AZ354" i="5"/>
  <c r="AZ374" i="5"/>
  <c r="AZ395" i="5"/>
  <c r="AZ415" i="5"/>
  <c r="AZ300" i="5"/>
  <c r="AZ362" i="5"/>
  <c r="AZ381" i="5"/>
  <c r="AZ391" i="5"/>
  <c r="AZ403" i="5"/>
  <c r="AZ410" i="5"/>
  <c r="AZ428" i="5"/>
  <c r="AZ444" i="5"/>
  <c r="AZ465" i="5"/>
  <c r="AZ477" i="5"/>
  <c r="AZ484" i="5"/>
  <c r="AZ505" i="5"/>
  <c r="AZ519" i="5"/>
  <c r="AZ361" i="5"/>
  <c r="AZ431" i="5"/>
  <c r="AZ443" i="5"/>
  <c r="AZ454" i="5"/>
  <c r="AZ469" i="5"/>
  <c r="AZ488" i="5"/>
  <c r="AZ499" i="5"/>
  <c r="AZ509" i="5"/>
  <c r="AZ520" i="5"/>
  <c r="AZ339" i="5"/>
  <c r="AZ402" i="5"/>
  <c r="AZ421" i="5"/>
  <c r="AZ433" i="5"/>
  <c r="AZ445" i="5"/>
  <c r="AZ460" i="5"/>
  <c r="AZ485" i="5"/>
  <c r="AZ501" i="5"/>
  <c r="AZ533" i="5"/>
  <c r="AZ540" i="5"/>
  <c r="AZ552" i="5"/>
  <c r="AZ285" i="5"/>
  <c r="AZ452" i="5"/>
  <c r="AZ549" i="5"/>
  <c r="AZ369" i="5"/>
  <c r="AZ522" i="5"/>
  <c r="AZ539" i="5"/>
  <c r="AZ554" i="5"/>
  <c r="AZ447" i="5"/>
  <c r="AZ478" i="5"/>
  <c r="AZ515" i="5"/>
  <c r="AZ557" i="5"/>
  <c r="AZ507" i="5"/>
  <c r="AZ545" i="5"/>
  <c r="AZ439" i="5"/>
  <c r="AZ342" i="5"/>
  <c r="AZ358" i="5"/>
  <c r="AZ378" i="5"/>
  <c r="AZ398" i="5"/>
  <c r="AZ420" i="5"/>
  <c r="AZ303" i="5"/>
  <c r="AZ368" i="5"/>
  <c r="AZ382" i="5"/>
  <c r="AZ396" i="5"/>
  <c r="AZ405" i="5"/>
  <c r="AZ338" i="5"/>
  <c r="AZ429" i="5"/>
  <c r="AZ446" i="5"/>
  <c r="AZ467" i="5"/>
  <c r="AZ479" i="5"/>
  <c r="AZ492" i="5"/>
  <c r="AZ506" i="5"/>
  <c r="AZ523" i="5"/>
  <c r="AZ367" i="5"/>
  <c r="AZ436" i="5"/>
  <c r="AZ449" i="5"/>
  <c r="AZ455" i="5"/>
  <c r="AZ473" i="5"/>
  <c r="AZ489" i="5"/>
  <c r="AZ502" i="5"/>
  <c r="AZ510" i="5"/>
  <c r="AZ521" i="5"/>
  <c r="AZ351" i="5"/>
  <c r="AZ411" i="5"/>
  <c r="AZ422" i="5"/>
  <c r="AZ435" i="5"/>
  <c r="AZ448" i="5"/>
  <c r="AZ464" i="5"/>
  <c r="AZ490" i="5"/>
  <c r="AZ517" i="5"/>
  <c r="AZ534" i="5"/>
  <c r="AZ542" i="5"/>
  <c r="AZ558" i="5"/>
  <c r="AZ291" i="5"/>
  <c r="AZ459" i="5"/>
  <c r="AZ550" i="5"/>
  <c r="AZ462" i="5"/>
  <c r="AZ528" i="5"/>
  <c r="AZ541" i="5"/>
  <c r="AZ548" i="5"/>
  <c r="AZ457" i="5"/>
  <c r="AZ486" i="5"/>
  <c r="AZ525" i="5"/>
  <c r="AZ360" i="5"/>
  <c r="AZ514" i="5"/>
  <c r="AZ553" i="5"/>
  <c r="AZ388" i="5"/>
  <c r="AZ372" i="5"/>
  <c r="AZ352" i="5"/>
  <c r="AZ480" i="5"/>
  <c r="AZ373" i="5"/>
  <c r="AZ481" i="5"/>
  <c r="AZ266" i="5"/>
  <c r="AZ437" i="5"/>
  <c r="AZ526" i="5"/>
  <c r="AZ404" i="5"/>
  <c r="AZ530" i="5"/>
  <c r="AZ498" i="5"/>
  <c r="AZ19" i="5"/>
  <c r="AZ274" i="5"/>
  <c r="AZ400" i="5"/>
  <c r="AZ386" i="5"/>
  <c r="AZ430" i="5"/>
  <c r="AZ495" i="5"/>
  <c r="AZ438" i="5"/>
  <c r="AZ493" i="5"/>
  <c r="AZ375" i="5"/>
  <c r="AZ456" i="5"/>
  <c r="AZ536" i="5"/>
  <c r="AZ524" i="5"/>
  <c r="AZ546" i="5"/>
  <c r="AZ531" i="5"/>
  <c r="AZ348" i="5"/>
  <c r="AZ259" i="5"/>
  <c r="AZ397" i="5"/>
  <c r="AZ453" i="5"/>
  <c r="AZ511" i="5"/>
  <c r="AZ450" i="5"/>
  <c r="AZ503" i="5"/>
  <c r="AZ414" i="5"/>
  <c r="AZ472" i="5"/>
  <c r="AZ544" i="5"/>
  <c r="AZ559" i="5"/>
  <c r="AZ560" i="5"/>
  <c r="AZ474" i="5"/>
  <c r="AZ470" i="5"/>
  <c r="AZ424" i="5"/>
  <c r="AZ471" i="5"/>
  <c r="AZ364" i="5"/>
  <c r="AZ537" i="5"/>
  <c r="AZ491" i="5"/>
  <c r="AZ529" i="5"/>
  <c r="AZ323" i="5"/>
  <c r="AZ463" i="5"/>
  <c r="AZ261" i="5"/>
  <c r="AZ407" i="5"/>
  <c r="AZ513" i="5"/>
  <c r="AZ468" i="5"/>
  <c r="H19" i="1"/>
  <c r="BE20" i="5" l="1"/>
  <c r="B28" i="2"/>
  <c r="G23" i="1" s="1"/>
  <c r="AY36" i="5"/>
  <c r="BC12" i="5"/>
  <c r="AC12" i="5"/>
  <c r="AD13" i="5"/>
  <c r="AE13" i="5"/>
  <c r="BD27" i="5"/>
  <c r="BF37" i="5"/>
  <c r="AX37" i="5"/>
  <c r="AY37" i="5"/>
  <c r="BE37" i="5"/>
  <c r="BD37" i="5"/>
  <c r="BD23" i="5"/>
  <c r="BE116" i="5"/>
  <c r="BD265" i="5"/>
  <c r="BD7" i="5"/>
  <c r="BE312" i="5"/>
  <c r="BD81" i="5"/>
  <c r="BD119" i="5"/>
  <c r="BE118" i="5"/>
  <c r="BD296" i="5"/>
  <c r="BB7" i="5"/>
  <c r="BD303" i="5"/>
  <c r="BE135" i="5"/>
  <c r="BD288" i="5"/>
  <c r="BD261" i="5"/>
  <c r="BE139" i="5"/>
  <c r="BE94" i="5"/>
  <c r="BE91" i="5"/>
  <c r="BE123" i="5"/>
  <c r="BD173" i="5"/>
  <c r="BD158" i="5"/>
  <c r="BD75" i="5"/>
  <c r="BE24" i="5"/>
  <c r="BE138" i="5"/>
  <c r="BD256" i="5"/>
  <c r="AX41" i="5"/>
  <c r="BD121" i="5"/>
  <c r="BE246" i="5"/>
  <c r="BD60" i="5"/>
  <c r="BE55" i="5"/>
  <c r="BE95" i="5"/>
  <c r="BD98" i="5"/>
  <c r="AX100" i="5"/>
  <c r="BD198" i="5"/>
  <c r="AX286" i="5"/>
  <c r="BE39" i="5"/>
  <c r="AX299" i="5"/>
  <c r="AX78" i="5"/>
  <c r="BE212" i="5"/>
  <c r="BD299" i="5"/>
  <c r="BD221" i="5"/>
  <c r="BE156" i="5"/>
  <c r="BE344" i="5"/>
  <c r="BE243" i="5"/>
  <c r="AX129" i="5"/>
  <c r="BD48" i="5"/>
  <c r="BD183" i="5"/>
  <c r="BD117" i="5"/>
  <c r="BD234" i="5"/>
  <c r="BE163" i="5"/>
  <c r="BE329" i="5"/>
  <c r="BD188" i="5"/>
  <c r="BE131" i="5"/>
  <c r="BD80" i="5"/>
  <c r="AX191" i="5"/>
  <c r="AY295" i="5"/>
  <c r="AX324" i="5"/>
  <c r="BD190" i="5"/>
  <c r="AY209" i="5"/>
  <c r="AY187" i="5"/>
  <c r="AY217" i="5"/>
  <c r="AX195" i="5"/>
  <c r="AX314" i="5"/>
  <c r="BE290" i="5"/>
  <c r="AX69" i="5"/>
  <c r="BD174" i="5"/>
  <c r="AY47" i="5"/>
  <c r="AX44" i="5"/>
  <c r="AY121" i="5"/>
  <c r="BE53" i="5"/>
  <c r="AY177" i="5"/>
  <c r="AY273" i="5"/>
  <c r="BD238" i="5"/>
  <c r="BD180" i="5"/>
  <c r="AY135" i="5"/>
  <c r="AX39" i="5"/>
  <c r="AY139" i="5"/>
  <c r="BD373" i="5"/>
  <c r="AX159" i="5"/>
  <c r="AY65" i="5"/>
  <c r="BE43" i="5"/>
  <c r="AX230" i="5"/>
  <c r="BE86" i="5"/>
  <c r="BE264" i="5"/>
  <c r="BE305" i="5"/>
  <c r="BE83" i="5"/>
  <c r="AX182" i="5"/>
  <c r="AX237" i="5"/>
  <c r="BD35" i="5"/>
  <c r="BD59" i="5"/>
  <c r="BD132" i="5"/>
  <c r="AY271" i="5"/>
  <c r="AY312" i="5"/>
  <c r="BD220" i="5"/>
  <c r="AX138" i="5"/>
  <c r="AY218" i="5"/>
  <c r="AY23" i="5"/>
  <c r="AX142" i="5"/>
  <c r="AY250" i="5"/>
  <c r="BE324" i="5"/>
  <c r="AX87" i="5"/>
  <c r="AY131" i="5"/>
  <c r="AY84" i="5"/>
  <c r="AY270" i="5"/>
  <c r="AY54" i="5"/>
  <c r="AX291" i="5"/>
  <c r="BE108" i="5"/>
  <c r="BE71" i="5"/>
  <c r="BE115" i="5"/>
  <c r="AY243" i="5"/>
  <c r="BE32" i="5"/>
  <c r="AX335" i="5"/>
  <c r="AX133" i="5"/>
  <c r="BD369" i="5"/>
  <c r="BE69" i="5"/>
  <c r="BD64" i="5"/>
  <c r="BE314" i="5"/>
  <c r="AY239" i="5"/>
  <c r="AY257" i="5"/>
  <c r="AY173" i="5"/>
  <c r="AX246" i="5"/>
  <c r="AY77" i="5"/>
  <c r="BE110" i="5"/>
  <c r="BD92" i="5"/>
  <c r="BD107" i="5"/>
  <c r="BE263" i="5"/>
  <c r="BE184" i="5"/>
  <c r="BE127" i="5"/>
  <c r="AX91" i="5"/>
  <c r="BE44" i="5"/>
  <c r="AY165" i="5"/>
  <c r="AY211" i="5"/>
  <c r="BD274" i="5"/>
  <c r="AX102" i="5"/>
  <c r="BD283" i="5"/>
  <c r="BD22" i="5"/>
  <c r="BD194" i="5"/>
  <c r="AY115" i="5"/>
  <c r="BE179" i="5"/>
  <c r="AX172" i="5"/>
  <c r="BE323" i="5"/>
  <c r="AY53" i="5"/>
  <c r="AX156" i="5"/>
  <c r="AX238" i="5"/>
  <c r="AX316" i="5"/>
  <c r="BD140" i="5"/>
  <c r="AX153" i="5"/>
  <c r="AX297" i="5"/>
  <c r="AX38" i="5"/>
  <c r="AY249" i="5"/>
  <c r="BE148" i="5"/>
  <c r="AY181" i="5"/>
  <c r="AX29" i="5"/>
  <c r="AY103" i="5"/>
  <c r="AX24" i="5"/>
  <c r="AY52" i="5"/>
  <c r="AX110" i="5"/>
  <c r="BE50" i="5"/>
  <c r="BE152" i="5"/>
  <c r="BE171" i="5"/>
  <c r="AX7" i="5"/>
  <c r="AY205" i="5"/>
  <c r="AY234" i="5"/>
  <c r="AY160" i="5"/>
  <c r="AX34" i="5"/>
  <c r="AX66" i="5"/>
  <c r="AX111" i="5"/>
  <c r="AY301" i="5"/>
  <c r="AX46" i="5"/>
  <c r="BE78" i="5"/>
  <c r="BE240" i="5"/>
  <c r="AY42" i="5"/>
  <c r="AY163" i="5"/>
  <c r="BE29" i="5"/>
  <c r="AX128" i="5"/>
  <c r="BE26" i="5"/>
  <c r="AY233" i="5"/>
  <c r="AY283" i="5"/>
  <c r="AX280" i="5"/>
  <c r="AX200" i="5"/>
  <c r="BE160" i="5"/>
  <c r="BE237" i="5"/>
  <c r="AX96" i="5"/>
  <c r="BD300" i="5"/>
  <c r="AX221" i="5"/>
  <c r="BD112" i="5"/>
  <c r="BE208" i="5"/>
  <c r="BE352" i="5"/>
  <c r="AX32" i="5"/>
  <c r="BE74" i="5"/>
  <c r="BD232" i="5"/>
  <c r="AX25" i="5"/>
  <c r="BD309" i="5"/>
  <c r="AY71" i="5"/>
  <c r="AX92" i="5"/>
  <c r="AY248" i="5"/>
  <c r="AX189" i="5"/>
  <c r="AY307" i="5"/>
  <c r="AX175" i="5"/>
  <c r="AX51" i="5"/>
  <c r="AY229" i="5"/>
  <c r="AY118" i="5"/>
  <c r="BE66" i="5"/>
  <c r="BD206" i="5"/>
  <c r="AY21" i="5"/>
  <c r="AX30" i="5"/>
  <c r="AY190" i="5"/>
  <c r="BD200" i="5"/>
  <c r="BE30" i="5"/>
  <c r="AX79" i="5"/>
  <c r="BE269" i="5"/>
  <c r="AY88" i="5"/>
  <c r="BD318" i="5"/>
  <c r="BD236" i="5"/>
  <c r="AX93" i="5"/>
  <c r="AX33" i="5"/>
  <c r="BE164" i="5"/>
  <c r="BE295" i="5"/>
  <c r="AY282" i="5"/>
  <c r="BD51" i="5"/>
  <c r="BE337" i="5"/>
  <c r="BE73" i="5"/>
  <c r="BE159" i="5"/>
  <c r="AX75" i="5"/>
  <c r="BD197" i="5"/>
  <c r="AX89" i="5"/>
  <c r="BE178" i="5"/>
  <c r="BD125" i="5"/>
  <c r="AX164" i="5"/>
  <c r="AY130" i="5"/>
  <c r="BD202" i="5"/>
  <c r="BE175" i="5"/>
  <c r="BE230" i="5"/>
  <c r="BD134" i="5"/>
  <c r="AX240" i="5"/>
  <c r="BE103" i="5"/>
  <c r="BE285" i="5"/>
  <c r="BE331" i="5"/>
  <c r="AX28" i="5"/>
  <c r="BD61" i="5"/>
  <c r="AX141" i="5"/>
  <c r="AX199" i="5"/>
  <c r="AY55" i="5"/>
  <c r="AY22" i="5"/>
  <c r="AY311" i="5"/>
  <c r="AX328" i="5"/>
  <c r="AX183" i="5"/>
  <c r="AY265" i="5"/>
  <c r="BE211" i="5"/>
  <c r="BD56" i="5"/>
  <c r="BE84" i="5"/>
  <c r="AX136" i="5"/>
  <c r="AY327" i="5"/>
  <c r="AY210" i="5"/>
  <c r="AY259" i="5"/>
  <c r="AY322" i="5"/>
  <c r="AX251" i="5"/>
  <c r="AY62" i="5"/>
  <c r="BE393" i="5"/>
  <c r="BE136" i="5"/>
  <c r="AX109" i="5"/>
  <c r="AY176" i="5"/>
  <c r="AY215" i="5"/>
  <c r="AY126" i="5"/>
  <c r="AY150" i="5"/>
  <c r="AY276" i="5"/>
  <c r="BE168" i="5"/>
  <c r="BD154" i="5"/>
  <c r="BE166" i="5"/>
  <c r="BE130" i="5"/>
  <c r="BE45" i="5"/>
  <c r="BD172" i="5"/>
  <c r="BD191" i="5"/>
  <c r="BE247" i="5"/>
  <c r="BD346" i="5"/>
  <c r="BE278" i="5"/>
  <c r="BE137" i="5"/>
  <c r="BD161" i="5"/>
  <c r="BD249" i="5"/>
  <c r="AX8" i="5"/>
  <c r="AY157" i="5"/>
  <c r="AY224" i="5"/>
  <c r="AX154" i="5"/>
  <c r="AY43" i="5"/>
  <c r="AY20" i="5"/>
  <c r="AY122" i="5"/>
  <c r="AY31" i="5"/>
  <c r="AY90" i="5"/>
  <c r="BE177" i="5"/>
  <c r="AX255" i="5"/>
  <c r="AY63" i="5"/>
  <c r="AY198" i="5"/>
  <c r="AY83" i="5"/>
  <c r="AX56" i="5"/>
  <c r="BE68" i="5"/>
  <c r="BE8" i="5"/>
  <c r="BE255" i="5"/>
  <c r="BD40" i="5"/>
  <c r="BE284" i="5"/>
  <c r="BD89" i="5"/>
  <c r="BD315" i="5"/>
  <c r="BE326" i="5"/>
  <c r="BE169" i="5"/>
  <c r="BD126" i="5"/>
  <c r="BE218" i="5"/>
  <c r="BD242" i="5"/>
  <c r="BD227" i="5"/>
  <c r="AX64" i="5"/>
  <c r="BD268" i="5"/>
  <c r="BE97" i="5"/>
  <c r="BD199" i="5"/>
  <c r="BD141" i="5"/>
  <c r="BE196" i="5"/>
  <c r="BE222" i="5"/>
  <c r="BD31" i="5"/>
  <c r="BE251" i="5"/>
  <c r="BD70" i="5"/>
  <c r="BE82" i="5"/>
  <c r="BD150" i="5"/>
  <c r="BE302" i="5"/>
  <c r="BD38" i="5"/>
  <c r="BE322" i="5"/>
  <c r="BD114" i="5"/>
  <c r="BE111" i="5"/>
  <c r="BD226" i="5"/>
  <c r="AY61" i="5"/>
  <c r="AX61" i="5"/>
  <c r="BE176" i="5"/>
  <c r="BE52" i="5"/>
  <c r="AY49" i="5"/>
  <c r="AX49" i="5"/>
  <c r="BE282" i="5"/>
  <c r="BE287" i="5"/>
  <c r="BE113" i="5"/>
  <c r="AW12" i="5"/>
  <c r="AX12" i="5" s="1"/>
  <c r="BE332" i="5"/>
  <c r="BE144" i="5"/>
  <c r="BD351" i="5"/>
  <c r="AZ12" i="5"/>
  <c r="BB12" i="5" s="1"/>
  <c r="BD266" i="5"/>
  <c r="BE223" i="5"/>
  <c r="BE262" i="5"/>
  <c r="BE219" i="5"/>
  <c r="AX560" i="5"/>
  <c r="AY560" i="5"/>
  <c r="AY475" i="5"/>
  <c r="AX475" i="5"/>
  <c r="AY431" i="5"/>
  <c r="AX431" i="5"/>
  <c r="AY119" i="5"/>
  <c r="AX119" i="5"/>
  <c r="AY455" i="5"/>
  <c r="AX455" i="5"/>
  <c r="AX19" i="5"/>
  <c r="AY19" i="5"/>
  <c r="AY546" i="5"/>
  <c r="AX546" i="5"/>
  <c r="AY266" i="5"/>
  <c r="AX266" i="5"/>
  <c r="AX552" i="5"/>
  <c r="AY552" i="5"/>
  <c r="AX256" i="5"/>
  <c r="AY256" i="5"/>
  <c r="AY389" i="5"/>
  <c r="AX389" i="5"/>
  <c r="AX35" i="5"/>
  <c r="AY35" i="5"/>
  <c r="AY482" i="5"/>
  <c r="AX482" i="5"/>
  <c r="AX354" i="5"/>
  <c r="AY354" i="5"/>
  <c r="AY521" i="5"/>
  <c r="AX521" i="5"/>
  <c r="AX454" i="5"/>
  <c r="AY454" i="5"/>
  <c r="AX545" i="5"/>
  <c r="AY545" i="5"/>
  <c r="AY528" i="5"/>
  <c r="AX528" i="5"/>
  <c r="AY498" i="5"/>
  <c r="AX498" i="5"/>
  <c r="AY464" i="5"/>
  <c r="AX464" i="5"/>
  <c r="AX414" i="5"/>
  <c r="AY414" i="5"/>
  <c r="AY374" i="5"/>
  <c r="AX374" i="5"/>
  <c r="AY236" i="5"/>
  <c r="AX236" i="5"/>
  <c r="AY108" i="5"/>
  <c r="AX108" i="5"/>
  <c r="AY446" i="5"/>
  <c r="AX446" i="5"/>
  <c r="AX413" i="5"/>
  <c r="AY413" i="5"/>
  <c r="AX484" i="5"/>
  <c r="AY484" i="5"/>
  <c r="AX463" i="5"/>
  <c r="AY463" i="5"/>
  <c r="AX457" i="5"/>
  <c r="AY457" i="5"/>
  <c r="AX422" i="5"/>
  <c r="AY422" i="5"/>
  <c r="AY409" i="5"/>
  <c r="AX409" i="5"/>
  <c r="AY323" i="5"/>
  <c r="AX323" i="5"/>
  <c r="AY206" i="5"/>
  <c r="AX206" i="5"/>
  <c r="AX68" i="5"/>
  <c r="AY68" i="5"/>
  <c r="AX537" i="5"/>
  <c r="AY537" i="5"/>
  <c r="AX358" i="5"/>
  <c r="AY358" i="5"/>
  <c r="AY554" i="5"/>
  <c r="AX554" i="5"/>
  <c r="AY549" i="5"/>
  <c r="AX549" i="5"/>
  <c r="AY517" i="5"/>
  <c r="AX517" i="5"/>
  <c r="AY481" i="5"/>
  <c r="AX481" i="5"/>
  <c r="AX298" i="5"/>
  <c r="AY298" i="5"/>
  <c r="AY292" i="5"/>
  <c r="AX292" i="5"/>
  <c r="AY171" i="5"/>
  <c r="AX171" i="5"/>
  <c r="AX509" i="5"/>
  <c r="AY509" i="5"/>
  <c r="AY550" i="5"/>
  <c r="AX550" i="5"/>
  <c r="AX478" i="5"/>
  <c r="AY478" i="5"/>
  <c r="AX272" i="5"/>
  <c r="AY272" i="5"/>
  <c r="AX456" i="5"/>
  <c r="AY456" i="5"/>
  <c r="AX518" i="5"/>
  <c r="AY518" i="5"/>
  <c r="AX445" i="5"/>
  <c r="AY445" i="5"/>
  <c r="AY168" i="5"/>
  <c r="AX168" i="5"/>
  <c r="AX352" i="5"/>
  <c r="AY352" i="5"/>
  <c r="AY376" i="5"/>
  <c r="AX376" i="5"/>
  <c r="AX180" i="5"/>
  <c r="AY180" i="5"/>
  <c r="AY388" i="5"/>
  <c r="AX388" i="5"/>
  <c r="AX349" i="5"/>
  <c r="AY349" i="5"/>
  <c r="AX269" i="5"/>
  <c r="AY269" i="5"/>
  <c r="AX258" i="5"/>
  <c r="AY258" i="5"/>
  <c r="AX252" i="5"/>
  <c r="AY252" i="5"/>
  <c r="AY192" i="5"/>
  <c r="AX192" i="5"/>
  <c r="AY140" i="5"/>
  <c r="AX140" i="5"/>
  <c r="AX116" i="5"/>
  <c r="AY116" i="5"/>
  <c r="AX127" i="5"/>
  <c r="AY127" i="5"/>
  <c r="AX72" i="5"/>
  <c r="AY72" i="5"/>
  <c r="AY384" i="5"/>
  <c r="AX384" i="5"/>
  <c r="AX488" i="5"/>
  <c r="AY488" i="5"/>
  <c r="AY350" i="5"/>
  <c r="AX350" i="5"/>
  <c r="AY383" i="5"/>
  <c r="AX383" i="5"/>
  <c r="AY405" i="5"/>
  <c r="AX405" i="5"/>
  <c r="AY326" i="5"/>
  <c r="AX326" i="5"/>
  <c r="AY406" i="5"/>
  <c r="AX406" i="5"/>
  <c r="AX290" i="5"/>
  <c r="AY290" i="5"/>
  <c r="AY313" i="5"/>
  <c r="AX313" i="5"/>
  <c r="AY308" i="5"/>
  <c r="AX308" i="5"/>
  <c r="AX293" i="5"/>
  <c r="AY293" i="5"/>
  <c r="AX188" i="5"/>
  <c r="AY188" i="5"/>
  <c r="AY197" i="5"/>
  <c r="AX197" i="5"/>
  <c r="AY179" i="5"/>
  <c r="AX179" i="5"/>
  <c r="AY151" i="5"/>
  <c r="AX151" i="5"/>
  <c r="AY98" i="5"/>
  <c r="AX98" i="5"/>
  <c r="AX60" i="5"/>
  <c r="AY60" i="5"/>
  <c r="AX380" i="5"/>
  <c r="AY380" i="5"/>
  <c r="AY507" i="5"/>
  <c r="AX507" i="5"/>
  <c r="AY439" i="5"/>
  <c r="AX439" i="5"/>
  <c r="AX483" i="5"/>
  <c r="AY483" i="5"/>
  <c r="AY370" i="5"/>
  <c r="AX370" i="5"/>
  <c r="AX487" i="5"/>
  <c r="AY487" i="5"/>
  <c r="AY346" i="5"/>
  <c r="AX346" i="5"/>
  <c r="AX375" i="5"/>
  <c r="AY375" i="5"/>
  <c r="AY396" i="5"/>
  <c r="AX396" i="5"/>
  <c r="AY321" i="5"/>
  <c r="AX321" i="5"/>
  <c r="AY403" i="5"/>
  <c r="AX403" i="5"/>
  <c r="AX284" i="5"/>
  <c r="AY284" i="5"/>
  <c r="AY303" i="5"/>
  <c r="AX303" i="5"/>
  <c r="AX304" i="5"/>
  <c r="AY304" i="5"/>
  <c r="AY287" i="5"/>
  <c r="AX287" i="5"/>
  <c r="AY166" i="5"/>
  <c r="AX166" i="5"/>
  <c r="AX194" i="5"/>
  <c r="AY194" i="5"/>
  <c r="AY178" i="5"/>
  <c r="AX178" i="5"/>
  <c r="AY148" i="5"/>
  <c r="AX148" i="5"/>
  <c r="AY97" i="5"/>
  <c r="AX97" i="5"/>
  <c r="AX57" i="5"/>
  <c r="AY57" i="5"/>
  <c r="AY155" i="5"/>
  <c r="AX155" i="5"/>
  <c r="AX226" i="5"/>
  <c r="AY226" i="5"/>
  <c r="AX132" i="5"/>
  <c r="AY132" i="5"/>
  <c r="AY519" i="5"/>
  <c r="AX519" i="5"/>
  <c r="AX544" i="5"/>
  <c r="AY544" i="5"/>
  <c r="AY536" i="5"/>
  <c r="AX536" i="5"/>
  <c r="AY531" i="5"/>
  <c r="AX531" i="5"/>
  <c r="AY433" i="5"/>
  <c r="AX433" i="5"/>
  <c r="AX137" i="5"/>
  <c r="AY137" i="5"/>
  <c r="AX432" i="5"/>
  <c r="AY432" i="5"/>
  <c r="AY520" i="5"/>
  <c r="AX520" i="5"/>
  <c r="AX458" i="5"/>
  <c r="AY458" i="5"/>
  <c r="AX330" i="5"/>
  <c r="AY330" i="5"/>
  <c r="AX107" i="5"/>
  <c r="AY107" i="5"/>
  <c r="AY395" i="5"/>
  <c r="AX395" i="5"/>
  <c r="AY392" i="5"/>
  <c r="AX392" i="5"/>
  <c r="AX357" i="5"/>
  <c r="AY357" i="5"/>
  <c r="AY300" i="5"/>
  <c r="AX300" i="5"/>
  <c r="AX50" i="5"/>
  <c r="AY50" i="5"/>
  <c r="AY504" i="5"/>
  <c r="AX504" i="5"/>
  <c r="AY472" i="5"/>
  <c r="AX472" i="5"/>
  <c r="AY469" i="5"/>
  <c r="AX469" i="5"/>
  <c r="AY369" i="5"/>
  <c r="AX369" i="5"/>
  <c r="AY268" i="5"/>
  <c r="AX268" i="5"/>
  <c r="AX174" i="5"/>
  <c r="AY174" i="5"/>
  <c r="AX289" i="5"/>
  <c r="AY289" i="5"/>
  <c r="AX232" i="5"/>
  <c r="AY232" i="5"/>
  <c r="AY158" i="5"/>
  <c r="AX158" i="5"/>
  <c r="AY94" i="5"/>
  <c r="AX94" i="5"/>
  <c r="AX499" i="5"/>
  <c r="AY499" i="5"/>
  <c r="AY404" i="5"/>
  <c r="AX404" i="5"/>
  <c r="AY355" i="5"/>
  <c r="AX355" i="5"/>
  <c r="AY364" i="5"/>
  <c r="AX364" i="5"/>
  <c r="AX196" i="5"/>
  <c r="AY196" i="5"/>
  <c r="AY225" i="5"/>
  <c r="AX225" i="5"/>
  <c r="AX161" i="5"/>
  <c r="AY161" i="5"/>
  <c r="AY85" i="5"/>
  <c r="AX85" i="5"/>
  <c r="AX473" i="5"/>
  <c r="AY473" i="5"/>
  <c r="AX459" i="5"/>
  <c r="AY459" i="5"/>
  <c r="AX425" i="5"/>
  <c r="AY425" i="5"/>
  <c r="AY412" i="5"/>
  <c r="AX412" i="5"/>
  <c r="AY410" i="5"/>
  <c r="AX410" i="5"/>
  <c r="AY421" i="5"/>
  <c r="AX421" i="5"/>
  <c r="AY117" i="5"/>
  <c r="AX117" i="5"/>
  <c r="AY315" i="5"/>
  <c r="AX315" i="5"/>
  <c r="AX193" i="5"/>
  <c r="AY193" i="5"/>
  <c r="AX82" i="5"/>
  <c r="AY82" i="5"/>
  <c r="AY423" i="5"/>
  <c r="AX423" i="5"/>
  <c r="AY529" i="5"/>
  <c r="AX529" i="5"/>
  <c r="AX515" i="5"/>
  <c r="AY515" i="5"/>
  <c r="AY123" i="5"/>
  <c r="AX123" i="5"/>
  <c r="AY535" i="5"/>
  <c r="AX535" i="5"/>
  <c r="AX394" i="5"/>
  <c r="AY394" i="5"/>
  <c r="AY204" i="5"/>
  <c r="AX204" i="5"/>
  <c r="AY470" i="5"/>
  <c r="AX470" i="5"/>
  <c r="AX471" i="5"/>
  <c r="AY471" i="5"/>
  <c r="AY207" i="5"/>
  <c r="AX207" i="5"/>
  <c r="AX449" i="5"/>
  <c r="AY449" i="5"/>
  <c r="AY426" i="5"/>
  <c r="AX426" i="5"/>
  <c r="AY495" i="5"/>
  <c r="AX495" i="5"/>
  <c r="AY476" i="5"/>
  <c r="AX476" i="5"/>
  <c r="AY462" i="5"/>
  <c r="AX462" i="5"/>
  <c r="AY434" i="5"/>
  <c r="AX434" i="5"/>
  <c r="AY339" i="5"/>
  <c r="AX339" i="5"/>
  <c r="AY343" i="5"/>
  <c r="AX343" i="5"/>
  <c r="AY227" i="5"/>
  <c r="AX227" i="5"/>
  <c r="AX80" i="5"/>
  <c r="AY80" i="5"/>
  <c r="AX556" i="5"/>
  <c r="AY556" i="5"/>
  <c r="AX365" i="5"/>
  <c r="AY365" i="5"/>
  <c r="AY441" i="5"/>
  <c r="AX441" i="5"/>
  <c r="AX551" i="5"/>
  <c r="AY551" i="5"/>
  <c r="AY302" i="5"/>
  <c r="AX302" i="5"/>
  <c r="AX493" i="5"/>
  <c r="AY493" i="5"/>
  <c r="AX333" i="5"/>
  <c r="AY333" i="5"/>
  <c r="AX325" i="5"/>
  <c r="AY325" i="5"/>
  <c r="AX125" i="5"/>
  <c r="AY125" i="5"/>
  <c r="AX534" i="5"/>
  <c r="AY534" i="5"/>
  <c r="AX467" i="5"/>
  <c r="AY467" i="5"/>
  <c r="AY555" i="5"/>
  <c r="AX555" i="5"/>
  <c r="AY539" i="5"/>
  <c r="AX539" i="5"/>
  <c r="AY512" i="5"/>
  <c r="AX512" i="5"/>
  <c r="AY485" i="5"/>
  <c r="AX485" i="5"/>
  <c r="AX344" i="5"/>
  <c r="AY344" i="5"/>
  <c r="AX401" i="5"/>
  <c r="AY401" i="5"/>
  <c r="AY277" i="5"/>
  <c r="AX277" i="5"/>
  <c r="AX124" i="5"/>
  <c r="AY124" i="5"/>
  <c r="AY479" i="5"/>
  <c r="AX479" i="5"/>
  <c r="AX543" i="5"/>
  <c r="AY543" i="5"/>
  <c r="AY468" i="5"/>
  <c r="AX468" i="5"/>
  <c r="AY501" i="5"/>
  <c r="AX501" i="5"/>
  <c r="AY435" i="5"/>
  <c r="AX435" i="5"/>
  <c r="AY502" i="5"/>
  <c r="AX502" i="5"/>
  <c r="AY427" i="5"/>
  <c r="AX427" i="5"/>
  <c r="AY411" i="5"/>
  <c r="AX411" i="5"/>
  <c r="AY317" i="5"/>
  <c r="AX317" i="5"/>
  <c r="AX362" i="5"/>
  <c r="AY362" i="5"/>
  <c r="AY429" i="5"/>
  <c r="AX429" i="5"/>
  <c r="AY366" i="5"/>
  <c r="AX366" i="5"/>
  <c r="AY342" i="5"/>
  <c r="AX342" i="5"/>
  <c r="AX244" i="5"/>
  <c r="AY244" i="5"/>
  <c r="AY332" i="5"/>
  <c r="AX332" i="5"/>
  <c r="AX235" i="5"/>
  <c r="AY235" i="5"/>
  <c r="AY223" i="5"/>
  <c r="AX223" i="5"/>
  <c r="AX169" i="5"/>
  <c r="AY169" i="5"/>
  <c r="AY134" i="5"/>
  <c r="AX134" i="5"/>
  <c r="AY101" i="5"/>
  <c r="AX101" i="5"/>
  <c r="AY26" i="5"/>
  <c r="AX26" i="5"/>
  <c r="AY294" i="5"/>
  <c r="AX294" i="5"/>
  <c r="AY466" i="5"/>
  <c r="AX466" i="5"/>
  <c r="AX305" i="5"/>
  <c r="AY305" i="5"/>
  <c r="AY361" i="5"/>
  <c r="AX361" i="5"/>
  <c r="AY387" i="5"/>
  <c r="AX387" i="5"/>
  <c r="AX267" i="5"/>
  <c r="AY267" i="5"/>
  <c r="AY398" i="5"/>
  <c r="AX398" i="5"/>
  <c r="AY359" i="5"/>
  <c r="AX359" i="5"/>
  <c r="AX288" i="5"/>
  <c r="AY288" i="5"/>
  <c r="AX279" i="5"/>
  <c r="AY279" i="5"/>
  <c r="AX263" i="5"/>
  <c r="AY263" i="5"/>
  <c r="AX220" i="5"/>
  <c r="AY220" i="5"/>
  <c r="AX167" i="5"/>
  <c r="AY167" i="5"/>
  <c r="AY147" i="5"/>
  <c r="AX147" i="5"/>
  <c r="AY145" i="5"/>
  <c r="AX145" i="5"/>
  <c r="AX86" i="5"/>
  <c r="AY86" i="5"/>
  <c r="AX40" i="5"/>
  <c r="AY40" i="5"/>
  <c r="AY553" i="5"/>
  <c r="AX553" i="5"/>
  <c r="AY486" i="5"/>
  <c r="AX486" i="5"/>
  <c r="AY337" i="5"/>
  <c r="AX337" i="5"/>
  <c r="AY460" i="5"/>
  <c r="AX460" i="5"/>
  <c r="AX530" i="5"/>
  <c r="AY530" i="5"/>
  <c r="AX451" i="5"/>
  <c r="AY451" i="5"/>
  <c r="AY275" i="5"/>
  <c r="AX275" i="5"/>
  <c r="AX360" i="5"/>
  <c r="AY360" i="5"/>
  <c r="AX386" i="5"/>
  <c r="AY386" i="5"/>
  <c r="AY262" i="5"/>
  <c r="AX262" i="5"/>
  <c r="AX397" i="5"/>
  <c r="AY397" i="5"/>
  <c r="AX356" i="5"/>
  <c r="AY356" i="5"/>
  <c r="AY285" i="5"/>
  <c r="AX285" i="5"/>
  <c r="AY278" i="5"/>
  <c r="AX278" i="5"/>
  <c r="AX260" i="5"/>
  <c r="AY260" i="5"/>
  <c r="AY216" i="5"/>
  <c r="AX216" i="5"/>
  <c r="AX162" i="5"/>
  <c r="AY162" i="5"/>
  <c r="AX144" i="5"/>
  <c r="AY144" i="5"/>
  <c r="AY143" i="5"/>
  <c r="AX143" i="5"/>
  <c r="AX81" i="5"/>
  <c r="AY81" i="5"/>
  <c r="AX45" i="5"/>
  <c r="AY45" i="5"/>
  <c r="AY547" i="5"/>
  <c r="AX547" i="5"/>
  <c r="AY461" i="5"/>
  <c r="AX461" i="5"/>
  <c r="AX281" i="5"/>
  <c r="AY281" i="5"/>
  <c r="AX353" i="5"/>
  <c r="AY353" i="5"/>
  <c r="AY523" i="5"/>
  <c r="AX523" i="5"/>
  <c r="AY542" i="5"/>
  <c r="AX542" i="5"/>
  <c r="AY497" i="5"/>
  <c r="AX497" i="5"/>
  <c r="AX203" i="5"/>
  <c r="AY203" i="5"/>
  <c r="AX503" i="5"/>
  <c r="AY503" i="5"/>
  <c r="AX533" i="5"/>
  <c r="AY533" i="5"/>
  <c r="AY480" i="5"/>
  <c r="AX480" i="5"/>
  <c r="AX390" i="5"/>
  <c r="AY390" i="5"/>
  <c r="AX213" i="5"/>
  <c r="AY213" i="5"/>
  <c r="AY440" i="5"/>
  <c r="AX440" i="5"/>
  <c r="AY465" i="5"/>
  <c r="AX465" i="5"/>
  <c r="AX452" i="5"/>
  <c r="AY452" i="5"/>
  <c r="AY393" i="5"/>
  <c r="AX393" i="5"/>
  <c r="AX186" i="5"/>
  <c r="AY186" i="5"/>
  <c r="AY559" i="5"/>
  <c r="AX559" i="5"/>
  <c r="AX399" i="5"/>
  <c r="AY399" i="5"/>
  <c r="AY331" i="5"/>
  <c r="AX331" i="5"/>
  <c r="AX334" i="5"/>
  <c r="AY334" i="5"/>
  <c r="AX391" i="5"/>
  <c r="AY391" i="5"/>
  <c r="AY400" i="5"/>
  <c r="AX400" i="5"/>
  <c r="AY296" i="5"/>
  <c r="AX296" i="5"/>
  <c r="AX274" i="5"/>
  <c r="AY274" i="5"/>
  <c r="AY185" i="5"/>
  <c r="AX185" i="5"/>
  <c r="AY104" i="5"/>
  <c r="AX104" i="5"/>
  <c r="AX48" i="5"/>
  <c r="AY48" i="5"/>
  <c r="AY419" i="5"/>
  <c r="AX419" i="5"/>
  <c r="AX202" i="5"/>
  <c r="AY202" i="5"/>
  <c r="AY424" i="5"/>
  <c r="AX424" i="5"/>
  <c r="AY338" i="5"/>
  <c r="AX338" i="5"/>
  <c r="AY320" i="5"/>
  <c r="AX320" i="5"/>
  <c r="AX208" i="5"/>
  <c r="AY208" i="5"/>
  <c r="AY120" i="5"/>
  <c r="AX120" i="5"/>
  <c r="AY59" i="5"/>
  <c r="AX59" i="5"/>
  <c r="AY525" i="5"/>
  <c r="AX525" i="5"/>
  <c r="AY496" i="5"/>
  <c r="AX496" i="5"/>
  <c r="AY494" i="5"/>
  <c r="AX494" i="5"/>
  <c r="AY402" i="5"/>
  <c r="AX402" i="5"/>
  <c r="AY340" i="5"/>
  <c r="AX340" i="5"/>
  <c r="AY341" i="5"/>
  <c r="AX341" i="5"/>
  <c r="AY336" i="5"/>
  <c r="AX336" i="5"/>
  <c r="AX222" i="5"/>
  <c r="AY222" i="5"/>
  <c r="AX149" i="5"/>
  <c r="AY149" i="5"/>
  <c r="AY58" i="5"/>
  <c r="AX58" i="5"/>
  <c r="AX381" i="5"/>
  <c r="AY381" i="5"/>
  <c r="AY540" i="5"/>
  <c r="AX540" i="5"/>
  <c r="AY450" i="5"/>
  <c r="AX450" i="5"/>
  <c r="AY527" i="5"/>
  <c r="AX527" i="5"/>
  <c r="AY505" i="5"/>
  <c r="AX505" i="5"/>
  <c r="AY254" i="5"/>
  <c r="AX254" i="5"/>
  <c r="AY522" i="5"/>
  <c r="AX522" i="5"/>
  <c r="AY428" i="5"/>
  <c r="AX428" i="5"/>
  <c r="AY442" i="5"/>
  <c r="AX442" i="5"/>
  <c r="AY76" i="5"/>
  <c r="AX76" i="5"/>
  <c r="AX558" i="5"/>
  <c r="AY558" i="5"/>
  <c r="AX377" i="5"/>
  <c r="AY377" i="5"/>
  <c r="AY444" i="5"/>
  <c r="AX444" i="5"/>
  <c r="AX557" i="5"/>
  <c r="AY557" i="5"/>
  <c r="AY363" i="5"/>
  <c r="AX363" i="5"/>
  <c r="AX508" i="5"/>
  <c r="AY508" i="5"/>
  <c r="AY367" i="5"/>
  <c r="AX367" i="5"/>
  <c r="AY253" i="5"/>
  <c r="AX253" i="5"/>
  <c r="AX170" i="5"/>
  <c r="AY170" i="5"/>
  <c r="AX538" i="5"/>
  <c r="AY538" i="5"/>
  <c r="AX511" i="5"/>
  <c r="AY511" i="5"/>
  <c r="AY532" i="5"/>
  <c r="AX532" i="5"/>
  <c r="AX541" i="5"/>
  <c r="AY541" i="5"/>
  <c r="AY524" i="5"/>
  <c r="AX524" i="5"/>
  <c r="AY491" i="5"/>
  <c r="AX491" i="5"/>
  <c r="AX379" i="5"/>
  <c r="AY379" i="5"/>
  <c r="AX420" i="5"/>
  <c r="AY420" i="5"/>
  <c r="AX309" i="5"/>
  <c r="AY309" i="5"/>
  <c r="AY106" i="5"/>
  <c r="AX106" i="5"/>
  <c r="AX500" i="5"/>
  <c r="AY500" i="5"/>
  <c r="AY430" i="5"/>
  <c r="AX430" i="5"/>
  <c r="AX526" i="5"/>
  <c r="AY526" i="5"/>
  <c r="AX506" i="5"/>
  <c r="AY506" i="5"/>
  <c r="AY477" i="5"/>
  <c r="AX477" i="5"/>
  <c r="AY448" i="5"/>
  <c r="AX448" i="5"/>
  <c r="AY373" i="5"/>
  <c r="AX373" i="5"/>
  <c r="AY231" i="5"/>
  <c r="AX231" i="5"/>
  <c r="AX242" i="5"/>
  <c r="AY242" i="5"/>
  <c r="AX74" i="5"/>
  <c r="AY74" i="5"/>
  <c r="AX416" i="5"/>
  <c r="AY416" i="5"/>
  <c r="AX514" i="5"/>
  <c r="AY514" i="5"/>
  <c r="AX453" i="5"/>
  <c r="AY453" i="5"/>
  <c r="AX490" i="5"/>
  <c r="AY490" i="5"/>
  <c r="AX408" i="5"/>
  <c r="AY408" i="5"/>
  <c r="AX489" i="5"/>
  <c r="AY489" i="5"/>
  <c r="AX371" i="5"/>
  <c r="AY371" i="5"/>
  <c r="AX385" i="5"/>
  <c r="AY385" i="5"/>
  <c r="AX407" i="5"/>
  <c r="AY407" i="5"/>
  <c r="AY329" i="5"/>
  <c r="AX329" i="5"/>
  <c r="AY415" i="5"/>
  <c r="AX415" i="5"/>
  <c r="AY310" i="5"/>
  <c r="AX310" i="5"/>
  <c r="AX318" i="5"/>
  <c r="AY318" i="5"/>
  <c r="AY319" i="5"/>
  <c r="AX319" i="5"/>
  <c r="AX306" i="5"/>
  <c r="AY306" i="5"/>
  <c r="AX212" i="5"/>
  <c r="AY212" i="5"/>
  <c r="AY201" i="5"/>
  <c r="AX201" i="5"/>
  <c r="AY112" i="5"/>
  <c r="AX112" i="5"/>
  <c r="AX99" i="5"/>
  <c r="AY99" i="5"/>
  <c r="AY105" i="5"/>
  <c r="AX105" i="5"/>
  <c r="AX67" i="5"/>
  <c r="AY67" i="5"/>
  <c r="AY513" i="5"/>
  <c r="AX513" i="5"/>
  <c r="AY443" i="5"/>
  <c r="AX443" i="5"/>
  <c r="AY418" i="5"/>
  <c r="AX418" i="5"/>
  <c r="AY351" i="5"/>
  <c r="AX351" i="5"/>
  <c r="AY372" i="5"/>
  <c r="AX372" i="5"/>
  <c r="AY437" i="5"/>
  <c r="AX437" i="5"/>
  <c r="AY382" i="5"/>
  <c r="AX382" i="5"/>
  <c r="AY348" i="5"/>
  <c r="AX348" i="5"/>
  <c r="AY264" i="5"/>
  <c r="AX264" i="5"/>
  <c r="AX241" i="5"/>
  <c r="AY241" i="5"/>
  <c r="AY228" i="5"/>
  <c r="AX228" i="5"/>
  <c r="AX247" i="5"/>
  <c r="AY247" i="5"/>
  <c r="AY95" i="5"/>
  <c r="AX95" i="5"/>
  <c r="AX152" i="5"/>
  <c r="AY152" i="5"/>
  <c r="AX114" i="5"/>
  <c r="AY114" i="5"/>
  <c r="AX73" i="5"/>
  <c r="AY73" i="5"/>
  <c r="AX492" i="5"/>
  <c r="AY492" i="5"/>
  <c r="AY548" i="5"/>
  <c r="AX548" i="5"/>
  <c r="AY474" i="5"/>
  <c r="AX474" i="5"/>
  <c r="AY516" i="5"/>
  <c r="AX516" i="5"/>
  <c r="AY447" i="5"/>
  <c r="AX447" i="5"/>
  <c r="AY510" i="5"/>
  <c r="AX510" i="5"/>
  <c r="AY438" i="5"/>
  <c r="AX438" i="5"/>
  <c r="AY417" i="5"/>
  <c r="AX417" i="5"/>
  <c r="AY347" i="5"/>
  <c r="AX347" i="5"/>
  <c r="AX368" i="5"/>
  <c r="AY368" i="5"/>
  <c r="AY436" i="5"/>
  <c r="AX436" i="5"/>
  <c r="AY378" i="5"/>
  <c r="AX378" i="5"/>
  <c r="AY345" i="5"/>
  <c r="AX345" i="5"/>
  <c r="AY261" i="5"/>
  <c r="AX261" i="5"/>
  <c r="AY219" i="5"/>
  <c r="AX219" i="5"/>
  <c r="AY214" i="5"/>
  <c r="AX214" i="5"/>
  <c r="AX245" i="5"/>
  <c r="AY245" i="5"/>
  <c r="AX184" i="5"/>
  <c r="AY184" i="5"/>
  <c r="AX146" i="5"/>
  <c r="AY146" i="5"/>
  <c r="AX113" i="5"/>
  <c r="AY113" i="5"/>
  <c r="AX70" i="5"/>
  <c r="AY70" i="5"/>
  <c r="AX27" i="5"/>
  <c r="AY27" i="5"/>
  <c r="BD85" i="5"/>
  <c r="BE276" i="5"/>
  <c r="BD54" i="5"/>
  <c r="BD213" i="5"/>
  <c r="BE316" i="5"/>
  <c r="BE133" i="5"/>
  <c r="BE313" i="5"/>
  <c r="BE105" i="5"/>
  <c r="BD88" i="5"/>
  <c r="BE231" i="5"/>
  <c r="BD235" i="5"/>
  <c r="BE109" i="5"/>
  <c r="BE21" i="5"/>
  <c r="BE201" i="5"/>
  <c r="BD339" i="5"/>
  <c r="BE195" i="5"/>
  <c r="BE34" i="5"/>
  <c r="BE241" i="5"/>
  <c r="BE72" i="5"/>
  <c r="BD149" i="5"/>
  <c r="BE225" i="5"/>
  <c r="BE207" i="5"/>
  <c r="BE338" i="5"/>
  <c r="BD76" i="5"/>
  <c r="BE101" i="5"/>
  <c r="BD214" i="5"/>
  <c r="BD317" i="5"/>
  <c r="BD411" i="5"/>
  <c r="BD65" i="5"/>
  <c r="BE145" i="5"/>
  <c r="BE210" i="5"/>
  <c r="BE298" i="5"/>
  <c r="BD41" i="5"/>
  <c r="BD122" i="5"/>
  <c r="BE189" i="5"/>
  <c r="BE306" i="5"/>
  <c r="BE100" i="5"/>
  <c r="BD279" i="5"/>
  <c r="BE147" i="5"/>
  <c r="BD157" i="5"/>
  <c r="BD47" i="5"/>
  <c r="AV31" i="5"/>
  <c r="BF31" i="5" s="1"/>
  <c r="AV466" i="5"/>
  <c r="BF466" i="5" s="1"/>
  <c r="AV417" i="5"/>
  <c r="BF417" i="5" s="1"/>
  <c r="AV422" i="5"/>
  <c r="BF422" i="5" s="1"/>
  <c r="AV497" i="5"/>
  <c r="BF497" i="5" s="1"/>
  <c r="AV449" i="5"/>
  <c r="BF449" i="5" s="1"/>
  <c r="AV405" i="5"/>
  <c r="BF405" i="5" s="1"/>
  <c r="AV492" i="5"/>
  <c r="BF492" i="5" s="1"/>
  <c r="AV264" i="5"/>
  <c r="BF264" i="5" s="1"/>
  <c r="BH264" i="5" s="1"/>
  <c r="AV26" i="5"/>
  <c r="BF26" i="5" s="1"/>
  <c r="AV12" i="5"/>
  <c r="AV287" i="5"/>
  <c r="BF287" i="5" s="1"/>
  <c r="BH287" i="5" s="1"/>
  <c r="AV339" i="5"/>
  <c r="BF339" i="5" s="1"/>
  <c r="AV446" i="5"/>
  <c r="BF446" i="5" s="1"/>
  <c r="AV91" i="5"/>
  <c r="BF91" i="5" s="1"/>
  <c r="AV161" i="5"/>
  <c r="BF161" i="5" s="1"/>
  <c r="AV484" i="5"/>
  <c r="BF484" i="5" s="1"/>
  <c r="AV310" i="5"/>
  <c r="BF310" i="5" s="1"/>
  <c r="AV50" i="5"/>
  <c r="BF50" i="5" s="1"/>
  <c r="AV435" i="5"/>
  <c r="BF435" i="5" s="1"/>
  <c r="AV210" i="5"/>
  <c r="BF210" i="5" s="1"/>
  <c r="BH210" i="5" s="1"/>
  <c r="AV71" i="5"/>
  <c r="BF71" i="5" s="1"/>
  <c r="BH71" i="5" s="1"/>
  <c r="AV177" i="5"/>
  <c r="BF177" i="5" s="1"/>
  <c r="AV540" i="5"/>
  <c r="BF540" i="5" s="1"/>
  <c r="AV511" i="5"/>
  <c r="BF511" i="5" s="1"/>
  <c r="AV444" i="5"/>
  <c r="BF444" i="5" s="1"/>
  <c r="AV548" i="5"/>
  <c r="BF548" i="5" s="1"/>
  <c r="AV319" i="5"/>
  <c r="BF319" i="5" s="1"/>
  <c r="AV455" i="5"/>
  <c r="BF455" i="5" s="1"/>
  <c r="AV128" i="5"/>
  <c r="BF128" i="5" s="1"/>
  <c r="AV528" i="5"/>
  <c r="BF528" i="5" s="1"/>
  <c r="AV434" i="5"/>
  <c r="BF434" i="5" s="1"/>
  <c r="AV205" i="5"/>
  <c r="BF205" i="5" s="1"/>
  <c r="AV538" i="5"/>
  <c r="BF538" i="5" s="1"/>
  <c r="AV452" i="5"/>
  <c r="BF452" i="5" s="1"/>
  <c r="AV265" i="5"/>
  <c r="BF265" i="5" s="1"/>
  <c r="AV64" i="5"/>
  <c r="BF64" i="5" s="1"/>
  <c r="BH64" i="5" s="1"/>
  <c r="AV114" i="5"/>
  <c r="BF114" i="5" s="1"/>
  <c r="BG114" i="5" s="1"/>
  <c r="AV11" i="5"/>
  <c r="AV514" i="5"/>
  <c r="BF514" i="5" s="1"/>
  <c r="AV382" i="5"/>
  <c r="BF382" i="5" s="1"/>
  <c r="AV373" i="5"/>
  <c r="BF373" i="5" s="1"/>
  <c r="AV500" i="5"/>
  <c r="BF500" i="5" s="1"/>
  <c r="AV258" i="5"/>
  <c r="BF258" i="5" s="1"/>
  <c r="AV426" i="5"/>
  <c r="BF426" i="5" s="1"/>
  <c r="AV54" i="5"/>
  <c r="BF54" i="5" s="1"/>
  <c r="AV429" i="5"/>
  <c r="BF429" i="5" s="1"/>
  <c r="AV439" i="5"/>
  <c r="BF439" i="5" s="1"/>
  <c r="AV208" i="5"/>
  <c r="BF208" i="5" s="1"/>
  <c r="AV240" i="5"/>
  <c r="BF240" i="5" s="1"/>
  <c r="AV550" i="5"/>
  <c r="BF550" i="5" s="1"/>
  <c r="AV506" i="5"/>
  <c r="BF506" i="5" s="1"/>
  <c r="AV496" i="5"/>
  <c r="BF496" i="5" s="1"/>
  <c r="AV350" i="5"/>
  <c r="BF350" i="5" s="1"/>
  <c r="AV159" i="5"/>
  <c r="BF159" i="5" s="1"/>
  <c r="AV33" i="5"/>
  <c r="BF33" i="5" s="1"/>
  <c r="AV164" i="5"/>
  <c r="BF164" i="5" s="1"/>
  <c r="BH164" i="5" s="1"/>
  <c r="AV292" i="5"/>
  <c r="BF292" i="5" s="1"/>
  <c r="AV252" i="5"/>
  <c r="BF252" i="5" s="1"/>
  <c r="AV418" i="5"/>
  <c r="BF418" i="5" s="1"/>
  <c r="AV43" i="5"/>
  <c r="BF43" i="5" s="1"/>
  <c r="BG43" i="5" s="1"/>
  <c r="AV120" i="5"/>
  <c r="BF120" i="5" s="1"/>
  <c r="AV219" i="5"/>
  <c r="BF219" i="5" s="1"/>
  <c r="BG219" i="5" s="1"/>
  <c r="AV290" i="5"/>
  <c r="BF290" i="5" s="1"/>
  <c r="AV315" i="5"/>
  <c r="BF315" i="5" s="1"/>
  <c r="BH315" i="5" s="1"/>
  <c r="AV442" i="5"/>
  <c r="BF442" i="5" s="1"/>
  <c r="AV156" i="5"/>
  <c r="BF156" i="5" s="1"/>
  <c r="AV21" i="5"/>
  <c r="BF21" i="5" s="1"/>
  <c r="BH21" i="5" s="1"/>
  <c r="AV154" i="5"/>
  <c r="BF154" i="5" s="1"/>
  <c r="AV505" i="5"/>
  <c r="BF505" i="5" s="1"/>
  <c r="AV197" i="5"/>
  <c r="BF197" i="5" s="1"/>
  <c r="AV524" i="5"/>
  <c r="BF524" i="5" s="1"/>
  <c r="AV390" i="5"/>
  <c r="BF390" i="5" s="1"/>
  <c r="AV359" i="5"/>
  <c r="BF359" i="5" s="1"/>
  <c r="AV101" i="5"/>
  <c r="BF101" i="5" s="1"/>
  <c r="AV200" i="5"/>
  <c r="BF200" i="5" s="1"/>
  <c r="AV199" i="5"/>
  <c r="BF199" i="5" s="1"/>
  <c r="AV146" i="5"/>
  <c r="BF146" i="5" s="1"/>
  <c r="AV212" i="5"/>
  <c r="BF212" i="5" s="1"/>
  <c r="AV55" i="5"/>
  <c r="BF55" i="5" s="1"/>
  <c r="BG55" i="5" s="1"/>
  <c r="AV460" i="5"/>
  <c r="BF460" i="5" s="1"/>
  <c r="AV109" i="5"/>
  <c r="BF109" i="5" s="1"/>
  <c r="AV365" i="5"/>
  <c r="BF365" i="5" s="1"/>
  <c r="AV28" i="5"/>
  <c r="BF28" i="5" s="1"/>
  <c r="AV179" i="5"/>
  <c r="BF179" i="5" s="1"/>
  <c r="AV467" i="5"/>
  <c r="BF467" i="5" s="1"/>
  <c r="AV180" i="5"/>
  <c r="BF180" i="5" s="1"/>
  <c r="BH180" i="5" s="1"/>
  <c r="AV398" i="5"/>
  <c r="BF398" i="5" s="1"/>
  <c r="AV207" i="5"/>
  <c r="BF207" i="5" s="1"/>
  <c r="AV428" i="5"/>
  <c r="BF428" i="5" s="1"/>
  <c r="AV488" i="5"/>
  <c r="BF488" i="5" s="1"/>
  <c r="AV306" i="5"/>
  <c r="BF306" i="5" s="1"/>
  <c r="BG306" i="5" s="1"/>
  <c r="AV98" i="5"/>
  <c r="BF98" i="5" s="1"/>
  <c r="BH98" i="5" s="1"/>
  <c r="AV512" i="5"/>
  <c r="BF512" i="5" s="1"/>
  <c r="AV304" i="5"/>
  <c r="BF304" i="5" s="1"/>
  <c r="AV46" i="5"/>
  <c r="BF46" i="5" s="1"/>
  <c r="AV202" i="5"/>
  <c r="BF202" i="5" s="1"/>
  <c r="AV337" i="5"/>
  <c r="BF337" i="5" s="1"/>
  <c r="BG337" i="5" s="1"/>
  <c r="AV228" i="5"/>
  <c r="BF228" i="5" s="1"/>
  <c r="AV552" i="5"/>
  <c r="BF552" i="5" s="1"/>
  <c r="AV157" i="5"/>
  <c r="BF157" i="5" s="1"/>
  <c r="AV355" i="5"/>
  <c r="BF355" i="5" s="1"/>
  <c r="AV508" i="5"/>
  <c r="BF508" i="5" s="1"/>
  <c r="AV515" i="5"/>
  <c r="BF515" i="5" s="1"/>
  <c r="AV215" i="5"/>
  <c r="BF215" i="5" s="1"/>
  <c r="AV29" i="5"/>
  <c r="BF29" i="5" s="1"/>
  <c r="AV454" i="5"/>
  <c r="BF454" i="5" s="1"/>
  <c r="AV402" i="5"/>
  <c r="BF402" i="5" s="1"/>
  <c r="AV222" i="5"/>
  <c r="BF222" i="5" s="1"/>
  <c r="BH222" i="5" s="1"/>
  <c r="AV84" i="5"/>
  <c r="BF84" i="5" s="1"/>
  <c r="BH84" i="5" s="1"/>
  <c r="AV225" i="5"/>
  <c r="BF225" i="5" s="1"/>
  <c r="AV302" i="5"/>
  <c r="BF302" i="5" s="1"/>
  <c r="AV380" i="5"/>
  <c r="BF380" i="5" s="1"/>
  <c r="AV86" i="5"/>
  <c r="BF86" i="5" s="1"/>
  <c r="BH86" i="5" s="1"/>
  <c r="AV230" i="5"/>
  <c r="BF230" i="5" s="1"/>
  <c r="BG230" i="5" s="1"/>
  <c r="AV358" i="5"/>
  <c r="BF358" i="5" s="1"/>
  <c r="AV371" i="5"/>
  <c r="BF371" i="5" s="1"/>
  <c r="AV149" i="5"/>
  <c r="BF149" i="5" s="1"/>
  <c r="AV192" i="5"/>
  <c r="BF192" i="5" s="1"/>
  <c r="AV85" i="5"/>
  <c r="BF85" i="5" s="1"/>
  <c r="AV22" i="5"/>
  <c r="BF22" i="5" s="1"/>
  <c r="BG22" i="5" s="1"/>
  <c r="AV234" i="5"/>
  <c r="BF234" i="5" s="1"/>
  <c r="BG234" i="5" s="1"/>
  <c r="AV254" i="5"/>
  <c r="BF254" i="5" s="1"/>
  <c r="AV403" i="5"/>
  <c r="BF403" i="5" s="1"/>
  <c r="AV106" i="5"/>
  <c r="BF106" i="5" s="1"/>
  <c r="AV178" i="5"/>
  <c r="BF178" i="5" s="1"/>
  <c r="AV259" i="5"/>
  <c r="BF259" i="5" s="1"/>
  <c r="AV368" i="5"/>
  <c r="BF368" i="5" s="1"/>
  <c r="AV384" i="5"/>
  <c r="BF384" i="5" s="1"/>
  <c r="AV143" i="5"/>
  <c r="BF143" i="5" s="1"/>
  <c r="AV66" i="5"/>
  <c r="BF66" i="5" s="1"/>
  <c r="BH66" i="5" s="1"/>
  <c r="AV122" i="5"/>
  <c r="BF122" i="5" s="1"/>
  <c r="BG122" i="5" s="1"/>
  <c r="AV99" i="5"/>
  <c r="BF99" i="5" s="1"/>
  <c r="AV36" i="5"/>
  <c r="BF36" i="5" s="1"/>
  <c r="AV267" i="5"/>
  <c r="BF267" i="5" s="1"/>
  <c r="AV283" i="5"/>
  <c r="BF283" i="5" s="1"/>
  <c r="BG283" i="5" s="1"/>
  <c r="AV425" i="5"/>
  <c r="BF425" i="5" s="1"/>
  <c r="AV148" i="5"/>
  <c r="BF148" i="5" s="1"/>
  <c r="AV195" i="5"/>
  <c r="BF195" i="5" s="1"/>
  <c r="BG195" i="5" s="1"/>
  <c r="AV271" i="5"/>
  <c r="BF271" i="5" s="1"/>
  <c r="AV386" i="5"/>
  <c r="BF386" i="5" s="1"/>
  <c r="AV399" i="5"/>
  <c r="BF399" i="5" s="1"/>
  <c r="AV115" i="5"/>
  <c r="BF115" i="5" s="1"/>
  <c r="BH115" i="5" s="1"/>
  <c r="AV47" i="5"/>
  <c r="BF47" i="5" s="1"/>
  <c r="AV184" i="5"/>
  <c r="BF184" i="5" s="1"/>
  <c r="AV100" i="5"/>
  <c r="BF100" i="5" s="1"/>
  <c r="BH100" i="5" s="1"/>
  <c r="AV45" i="5"/>
  <c r="BF45" i="5" s="1"/>
  <c r="BG45" i="5" s="1"/>
  <c r="AV303" i="5"/>
  <c r="BF303" i="5" s="1"/>
  <c r="AV409" i="5"/>
  <c r="BF409" i="5" s="1"/>
  <c r="AV336" i="5"/>
  <c r="BF336" i="5" s="1"/>
  <c r="AV96" i="5"/>
  <c r="BF96" i="5" s="1"/>
  <c r="AV216" i="5"/>
  <c r="BF216" i="5" s="1"/>
  <c r="AV327" i="5"/>
  <c r="BF327" i="5" s="1"/>
  <c r="AV324" i="5"/>
  <c r="BF324" i="5" s="1"/>
  <c r="AV357" i="5"/>
  <c r="BF357" i="5" s="1"/>
  <c r="AV182" i="5"/>
  <c r="BF182" i="5" s="1"/>
  <c r="AV78" i="5"/>
  <c r="BF78" i="5" s="1"/>
  <c r="BH78" i="5" s="1"/>
  <c r="AV172" i="5"/>
  <c r="BF172" i="5" s="1"/>
  <c r="AV142" i="5"/>
  <c r="BF142" i="5" s="1"/>
  <c r="AV522" i="5"/>
  <c r="BF522" i="5" s="1"/>
  <c r="AV366" i="5"/>
  <c r="BF366" i="5" s="1"/>
  <c r="AV165" i="5"/>
  <c r="BF165" i="5" s="1"/>
  <c r="AV322" i="5"/>
  <c r="BF322" i="5" s="1"/>
  <c r="AV110" i="5"/>
  <c r="BF110" i="5" s="1"/>
  <c r="AV464" i="5"/>
  <c r="BF464" i="5" s="1"/>
  <c r="AV51" i="5"/>
  <c r="BF51" i="5" s="1"/>
  <c r="BG51" i="5" s="1"/>
  <c r="AV471" i="5"/>
  <c r="BF471" i="5" s="1"/>
  <c r="AV438" i="5"/>
  <c r="BF438" i="5" s="1"/>
  <c r="AV556" i="5"/>
  <c r="BF556" i="5" s="1"/>
  <c r="AV479" i="5"/>
  <c r="BF479" i="5" s="1"/>
  <c r="AV489" i="5"/>
  <c r="BF489" i="5" s="1"/>
  <c r="AV389" i="5"/>
  <c r="BF389" i="5" s="1"/>
  <c r="AV558" i="5"/>
  <c r="BF558" i="5" s="1"/>
  <c r="AV342" i="5"/>
  <c r="BF342" i="5" s="1"/>
  <c r="AV56" i="5"/>
  <c r="BF56" i="5" s="1"/>
  <c r="AV13" i="5"/>
  <c r="AV256" i="5"/>
  <c r="BF256" i="5" s="1"/>
  <c r="AV547" i="5"/>
  <c r="BF547" i="5" s="1"/>
  <c r="AV223" i="5"/>
  <c r="BF223" i="5" s="1"/>
  <c r="BH223" i="5" s="1"/>
  <c r="AV81" i="5"/>
  <c r="BF81" i="5" s="1"/>
  <c r="AV313" i="5"/>
  <c r="BF313" i="5" s="1"/>
  <c r="AV473" i="5"/>
  <c r="BF473" i="5" s="1"/>
  <c r="AV340" i="5"/>
  <c r="BF340" i="5" s="1"/>
  <c r="AV27" i="5"/>
  <c r="BF27" i="5" s="1"/>
  <c r="BG27" i="5" s="1"/>
  <c r="AV516" i="5"/>
  <c r="BF516" i="5" s="1"/>
  <c r="AV139" i="5"/>
  <c r="BF139" i="5" s="1"/>
  <c r="AV93" i="5"/>
  <c r="BF93" i="5" s="1"/>
  <c r="AV430" i="5"/>
  <c r="BF430" i="5" s="1"/>
  <c r="AV494" i="5"/>
  <c r="BF494" i="5" s="1"/>
  <c r="AV551" i="5"/>
  <c r="BF551" i="5" s="1"/>
  <c r="AV485" i="5"/>
  <c r="BF485" i="5" s="1"/>
  <c r="AV23" i="5"/>
  <c r="BF23" i="5" s="1"/>
  <c r="BH23" i="5" s="1"/>
  <c r="AV227" i="5"/>
  <c r="BF227" i="5" s="1"/>
  <c r="AV519" i="5"/>
  <c r="BF519" i="5" s="1"/>
  <c r="AV397" i="5"/>
  <c r="BF397" i="5" s="1"/>
  <c r="AV299" i="5"/>
  <c r="BF299" i="5" s="1"/>
  <c r="BG299" i="5" s="1"/>
  <c r="AV443" i="5"/>
  <c r="BF443" i="5" s="1"/>
  <c r="AV498" i="5"/>
  <c r="BF498" i="5" s="1"/>
  <c r="AV407" i="5"/>
  <c r="BF407" i="5" s="1"/>
  <c r="AV111" i="5"/>
  <c r="BF111" i="5" s="1"/>
  <c r="AV116" i="5"/>
  <c r="BF116" i="5" s="1"/>
  <c r="AV231" i="5"/>
  <c r="BF231" i="5" s="1"/>
  <c r="BH231" i="5" s="1"/>
  <c r="AV367" i="5"/>
  <c r="BF367" i="5" s="1"/>
  <c r="AV388" i="5"/>
  <c r="BF388" i="5" s="1"/>
  <c r="AV123" i="5"/>
  <c r="BF123" i="5" s="1"/>
  <c r="AV282" i="5"/>
  <c r="BF282" i="5" s="1"/>
  <c r="AV354" i="5"/>
  <c r="BF354" i="5" s="1"/>
  <c r="AV348" i="5"/>
  <c r="BF348" i="5" s="1"/>
  <c r="AV57" i="5"/>
  <c r="BF57" i="5" s="1"/>
  <c r="AV152" i="5"/>
  <c r="BF152" i="5" s="1"/>
  <c r="AV97" i="5"/>
  <c r="BF97" i="5" s="1"/>
  <c r="BH97" i="5" s="1"/>
  <c r="AV201" i="5"/>
  <c r="BF201" i="5" s="1"/>
  <c r="AV321" i="5"/>
  <c r="BF321" i="5" s="1"/>
  <c r="AV361" i="5"/>
  <c r="BF361" i="5" s="1"/>
  <c r="AV472" i="5"/>
  <c r="BF472" i="5" s="1"/>
  <c r="AV140" i="5"/>
  <c r="BF140" i="5" s="1"/>
  <c r="AV238" i="5"/>
  <c r="BF238" i="5" s="1"/>
  <c r="AV198" i="5"/>
  <c r="BF198" i="5" s="1"/>
  <c r="BG198" i="5" s="1"/>
  <c r="AV193" i="5"/>
  <c r="BF193" i="5" s="1"/>
  <c r="AV394" i="5"/>
  <c r="BF394" i="5" s="1"/>
  <c r="AV131" i="5"/>
  <c r="BF131" i="5" s="1"/>
  <c r="AV25" i="5"/>
  <c r="BF25" i="5" s="1"/>
  <c r="AV141" i="5"/>
  <c r="BF141" i="5" s="1"/>
  <c r="BG141" i="5" s="1"/>
  <c r="AV48" i="5"/>
  <c r="BF48" i="5" s="1"/>
  <c r="BG48" i="5" s="1"/>
  <c r="AV266" i="5"/>
  <c r="BF266" i="5" s="1"/>
  <c r="AV331" i="5"/>
  <c r="BF331" i="5" s="1"/>
  <c r="AV383" i="5"/>
  <c r="BF383" i="5" s="1"/>
  <c r="AV490" i="5"/>
  <c r="BF490" i="5" s="1"/>
  <c r="AV155" i="5"/>
  <c r="BF155" i="5" s="1"/>
  <c r="AV194" i="5"/>
  <c r="BF194" i="5" s="1"/>
  <c r="AV247" i="5"/>
  <c r="BF247" i="5" s="1"/>
  <c r="AV257" i="5"/>
  <c r="BF257" i="5" s="1"/>
  <c r="AV406" i="5"/>
  <c r="BF406" i="5" s="1"/>
  <c r="AV117" i="5"/>
  <c r="BF117" i="5" s="1"/>
  <c r="AV40" i="5"/>
  <c r="BF40" i="5" s="1"/>
  <c r="AV121" i="5"/>
  <c r="BF121" i="5" s="1"/>
  <c r="AV75" i="5"/>
  <c r="BF75" i="5" s="1"/>
  <c r="BG75" i="5" s="1"/>
  <c r="AV214" i="5"/>
  <c r="BF214" i="5" s="1"/>
  <c r="BH214" i="5" s="1"/>
  <c r="AV284" i="5"/>
  <c r="BF284" i="5" s="1"/>
  <c r="AV312" i="5"/>
  <c r="BF312" i="5" s="1"/>
  <c r="AV436" i="5"/>
  <c r="BF436" i="5" s="1"/>
  <c r="AV102" i="5"/>
  <c r="BF102" i="5" s="1"/>
  <c r="AV217" i="5"/>
  <c r="BF217" i="5" s="1"/>
  <c r="AV291" i="5"/>
  <c r="BF291" i="5" s="1"/>
  <c r="AV396" i="5"/>
  <c r="BF396" i="5" s="1"/>
  <c r="AV416" i="5"/>
  <c r="BF416" i="5" s="1"/>
  <c r="AV88" i="5"/>
  <c r="BF88" i="5" s="1"/>
  <c r="AV65" i="5"/>
  <c r="BF65" i="5" s="1"/>
  <c r="BG65" i="5" s="1"/>
  <c r="AV169" i="5"/>
  <c r="BF169" i="5" s="1"/>
  <c r="AV83" i="5"/>
  <c r="BF83" i="5" s="1"/>
  <c r="BG83" i="5" s="1"/>
  <c r="AV445" i="5"/>
  <c r="BF445" i="5" s="1"/>
  <c r="AV504" i="5"/>
  <c r="BF504" i="5" s="1"/>
  <c r="AV493" i="5"/>
  <c r="BF493" i="5" s="1"/>
  <c r="AV135" i="5"/>
  <c r="BF135" i="5" s="1"/>
  <c r="AV235" i="5"/>
  <c r="BF235" i="5" s="1"/>
  <c r="AV468" i="5"/>
  <c r="BF468" i="5" s="1"/>
  <c r="AV241" i="5"/>
  <c r="BF241" i="5" s="1"/>
  <c r="AV333" i="5"/>
  <c r="BF333" i="5" s="1"/>
  <c r="AV539" i="5"/>
  <c r="BF539" i="5" s="1"/>
  <c r="AV408" i="5"/>
  <c r="BF408" i="5" s="1"/>
  <c r="AV502" i="5"/>
  <c r="BF502" i="5" s="1"/>
  <c r="AV459" i="5"/>
  <c r="BF459" i="5" s="1"/>
  <c r="AV431" i="5"/>
  <c r="BF431" i="5" s="1"/>
  <c r="AV173" i="5"/>
  <c r="BF173" i="5" s="1"/>
  <c r="AV534" i="5"/>
  <c r="BF534" i="5" s="1"/>
  <c r="AV250" i="5"/>
  <c r="BF250" i="5" s="1"/>
  <c r="AV535" i="5"/>
  <c r="BF535" i="5" s="1"/>
  <c r="AV463" i="5"/>
  <c r="BF463" i="5" s="1"/>
  <c r="AV82" i="5"/>
  <c r="BF82" i="5" s="1"/>
  <c r="BG82" i="5" s="1"/>
  <c r="AV423" i="5"/>
  <c r="BF423" i="5" s="1"/>
  <c r="AV63" i="5"/>
  <c r="BF63" i="5" s="1"/>
  <c r="AV253" i="5"/>
  <c r="BF253" i="5" s="1"/>
  <c r="AV456" i="5"/>
  <c r="BF456" i="5" s="1"/>
  <c r="AV183" i="5"/>
  <c r="BF183" i="5" s="1"/>
  <c r="AV118" i="5"/>
  <c r="BF118" i="5" s="1"/>
  <c r="AV138" i="5"/>
  <c r="BF138" i="5" s="1"/>
  <c r="AV308" i="5"/>
  <c r="BF308" i="5" s="1"/>
  <c r="AV334" i="5"/>
  <c r="BF334" i="5" s="1"/>
  <c r="AV181" i="5"/>
  <c r="BF181" i="5" s="1"/>
  <c r="AV305" i="5"/>
  <c r="BF305" i="5" s="1"/>
  <c r="BH305" i="5" s="1"/>
  <c r="AV458" i="5"/>
  <c r="BF458" i="5" s="1"/>
  <c r="AV211" i="5"/>
  <c r="BF211" i="5" s="1"/>
  <c r="AV53" i="5"/>
  <c r="BF53" i="5" s="1"/>
  <c r="BG53" i="5" s="1"/>
  <c r="AV301" i="5"/>
  <c r="BF301" i="5" s="1"/>
  <c r="AV60" i="5"/>
  <c r="BF60" i="5" s="1"/>
  <c r="AV246" i="5"/>
  <c r="BF246" i="5" s="1"/>
  <c r="BG246" i="5" s="1"/>
  <c r="AV369" i="5"/>
  <c r="BF369" i="5" s="1"/>
  <c r="BH369" i="5" s="1"/>
  <c r="AV104" i="5"/>
  <c r="BF104" i="5" s="1"/>
  <c r="AV133" i="5"/>
  <c r="BF133" i="5" s="1"/>
  <c r="BG133" i="5" s="1"/>
  <c r="AV279" i="5"/>
  <c r="BF279" i="5" s="1"/>
  <c r="AV404" i="5"/>
  <c r="BF404" i="5" s="1"/>
  <c r="AV127" i="5"/>
  <c r="BF127" i="5" s="1"/>
  <c r="BG127" i="5" s="1"/>
  <c r="AV268" i="5"/>
  <c r="BF268" i="5" s="1"/>
  <c r="AV433" i="5"/>
  <c r="BF433" i="5" s="1"/>
  <c r="AV42" i="5"/>
  <c r="BF42" i="5" s="1"/>
  <c r="AV35" i="5"/>
  <c r="BF35" i="5" s="1"/>
  <c r="BH35" i="5" s="1"/>
  <c r="AV320" i="5"/>
  <c r="BF320" i="5" s="1"/>
  <c r="AV410" i="5"/>
  <c r="BF410" i="5" s="1"/>
  <c r="AV124" i="5"/>
  <c r="BF124" i="5" s="1"/>
  <c r="AV326" i="5"/>
  <c r="BF326" i="5" s="1"/>
  <c r="AV39" i="5"/>
  <c r="BF39" i="5" s="1"/>
  <c r="AV103" i="5"/>
  <c r="BF103" i="5" s="1"/>
  <c r="BG103" i="5" s="1"/>
  <c r="AV391" i="5"/>
  <c r="BF391" i="5" s="1"/>
  <c r="AV220" i="5"/>
  <c r="BF220" i="5" s="1"/>
  <c r="AV518" i="5"/>
  <c r="BF518" i="5" s="1"/>
  <c r="AV343" i="5"/>
  <c r="BF343" i="5" s="1"/>
  <c r="AV381" i="5"/>
  <c r="BF381" i="5" s="1"/>
  <c r="AV105" i="5"/>
  <c r="BF105" i="5" s="1"/>
  <c r="AV134" i="5"/>
  <c r="BF134" i="5" s="1"/>
  <c r="AV349" i="5"/>
  <c r="BF349" i="5" s="1"/>
  <c r="AV125" i="5"/>
  <c r="BF125" i="5" s="1"/>
  <c r="AV196" i="5"/>
  <c r="BF196" i="5" s="1"/>
  <c r="AV176" i="5"/>
  <c r="BF176" i="5" s="1"/>
  <c r="AV542" i="5"/>
  <c r="BF542" i="5" s="1"/>
  <c r="AV170" i="5"/>
  <c r="BF170" i="5" s="1"/>
  <c r="AV483" i="5"/>
  <c r="BF483" i="5" s="1"/>
  <c r="AV332" i="5"/>
  <c r="BF332" i="5" s="1"/>
  <c r="AV187" i="5"/>
  <c r="BF187" i="5" s="1"/>
  <c r="AV224" i="5"/>
  <c r="BF224" i="5" s="1"/>
  <c r="AV448" i="5"/>
  <c r="BF448" i="5" s="1"/>
  <c r="AV24" i="5"/>
  <c r="BF24" i="5" s="1"/>
  <c r="AV364" i="5"/>
  <c r="BF364" i="5" s="1"/>
  <c r="AV527" i="5"/>
  <c r="BF527" i="5" s="1"/>
  <c r="AV520" i="5"/>
  <c r="BF520" i="5" s="1"/>
  <c r="AV32" i="5"/>
  <c r="BF32" i="5" s="1"/>
  <c r="AV531" i="5"/>
  <c r="BF531" i="5" s="1"/>
  <c r="AV513" i="5"/>
  <c r="BF513" i="5" s="1"/>
  <c r="AV377" i="5"/>
  <c r="BF377" i="5" s="1"/>
  <c r="AV507" i="5"/>
  <c r="BF507" i="5" s="1"/>
  <c r="AV144" i="5"/>
  <c r="BF144" i="5" s="1"/>
  <c r="BG144" i="5" s="1"/>
  <c r="AV263" i="5"/>
  <c r="BF263" i="5" s="1"/>
  <c r="BH263" i="5" s="1"/>
  <c r="AV34" i="5"/>
  <c r="BF34" i="5" s="1"/>
  <c r="BG34" i="5" s="1"/>
  <c r="AV323" i="5"/>
  <c r="BF323" i="5" s="1"/>
  <c r="AV38" i="5"/>
  <c r="BF38" i="5" s="1"/>
  <c r="BG38" i="5" s="1"/>
  <c r="AV307" i="5"/>
  <c r="BF307" i="5" s="1"/>
  <c r="AV163" i="5"/>
  <c r="BF163" i="5" s="1"/>
  <c r="BG163" i="5" s="1"/>
  <c r="AV112" i="5"/>
  <c r="BF112" i="5" s="1"/>
  <c r="BH112" i="5" s="1"/>
  <c r="AV269" i="5"/>
  <c r="BF269" i="5" s="1"/>
  <c r="BH269" i="5" s="1"/>
  <c r="AV395" i="5"/>
  <c r="BF395" i="5" s="1"/>
  <c r="AV204" i="5"/>
  <c r="BF204" i="5" s="1"/>
  <c r="AV255" i="5"/>
  <c r="BF255" i="5" s="1"/>
  <c r="AV162" i="5"/>
  <c r="BF162" i="5" s="1"/>
  <c r="AV168" i="5"/>
  <c r="BF168" i="5" s="1"/>
  <c r="BG168" i="5" s="1"/>
  <c r="AV62" i="5"/>
  <c r="BF62" i="5" s="1"/>
  <c r="AV393" i="5"/>
  <c r="BF393" i="5" s="1"/>
  <c r="BG393" i="5" s="1"/>
  <c r="AV79" i="5"/>
  <c r="BF79" i="5" s="1"/>
  <c r="AV311" i="5"/>
  <c r="BF311" i="5" s="1"/>
  <c r="AV335" i="5"/>
  <c r="BF335" i="5" s="1"/>
  <c r="AV74" i="5"/>
  <c r="BF74" i="5" s="1"/>
  <c r="AV160" i="5"/>
  <c r="BF160" i="5" s="1"/>
  <c r="AV171" i="5"/>
  <c r="BF171" i="5" s="1"/>
  <c r="AV370" i="5"/>
  <c r="BF370" i="5" s="1"/>
  <c r="AV175" i="5"/>
  <c r="BF175" i="5" s="1"/>
  <c r="BH175" i="5" s="1"/>
  <c r="AV341" i="5"/>
  <c r="BF341" i="5" s="1"/>
  <c r="AV174" i="5"/>
  <c r="BF174" i="5" s="1"/>
  <c r="AV158" i="5"/>
  <c r="BF158" i="5" s="1"/>
  <c r="BH158" i="5" s="1"/>
  <c r="AV58" i="5"/>
  <c r="BF58" i="5" s="1"/>
  <c r="AV206" i="5"/>
  <c r="BF206" i="5" s="1"/>
  <c r="AV486" i="5"/>
  <c r="BF486" i="5" s="1"/>
  <c r="AV376" i="5"/>
  <c r="BF376" i="5" s="1"/>
  <c r="AV378" i="5"/>
  <c r="BF378" i="5" s="1"/>
  <c r="AV530" i="5"/>
  <c r="BF530" i="5" s="1"/>
  <c r="AV153" i="5"/>
  <c r="BF153" i="5" s="1"/>
  <c r="AV526" i="5"/>
  <c r="BF526" i="5" s="1"/>
  <c r="AV328" i="5"/>
  <c r="BF328" i="5" s="1"/>
  <c r="AV461" i="5"/>
  <c r="BF461" i="5" s="1"/>
  <c r="AV20" i="5"/>
  <c r="BF20" i="5" s="1"/>
  <c r="AV451" i="5"/>
  <c r="BF451" i="5" s="1"/>
  <c r="AV145" i="5"/>
  <c r="BF145" i="5" s="1"/>
  <c r="AV441" i="5"/>
  <c r="BF441" i="5" s="1"/>
  <c r="AV69" i="5"/>
  <c r="BF69" i="5" s="1"/>
  <c r="AV274" i="5"/>
  <c r="BF274" i="5" s="1"/>
  <c r="AV237" i="5"/>
  <c r="BF237" i="5" s="1"/>
  <c r="BG237" i="5" s="1"/>
  <c r="AV147" i="5"/>
  <c r="BF147" i="5" s="1"/>
  <c r="AV346" i="5"/>
  <c r="BF346" i="5" s="1"/>
  <c r="AV475" i="5"/>
  <c r="BF475" i="5" s="1"/>
  <c r="AV30" i="5"/>
  <c r="BF30" i="5" s="1"/>
  <c r="AV203" i="5"/>
  <c r="BF203" i="5" s="1"/>
  <c r="AV107" i="5"/>
  <c r="BF107" i="5" s="1"/>
  <c r="AV457" i="5"/>
  <c r="BF457" i="5" s="1"/>
  <c r="AV419" i="5"/>
  <c r="BF419" i="5" s="1"/>
  <c r="AV517" i="5"/>
  <c r="BF517" i="5" s="1"/>
  <c r="AV420" i="5"/>
  <c r="BF420" i="5" s="1"/>
  <c r="AV248" i="5"/>
  <c r="BF248" i="5" s="1"/>
  <c r="AV544" i="5"/>
  <c r="BF544" i="5" s="1"/>
  <c r="AV213" i="5"/>
  <c r="BF213" i="5" s="1"/>
  <c r="AV330" i="5"/>
  <c r="BF330" i="5" s="1"/>
  <c r="AV374" i="5"/>
  <c r="BF374" i="5" s="1"/>
  <c r="AV229" i="5"/>
  <c r="BF229" i="5" s="1"/>
  <c r="AV411" i="5"/>
  <c r="BF411" i="5" s="1"/>
  <c r="AV72" i="5"/>
  <c r="BF72" i="5" s="1"/>
  <c r="AV297" i="5"/>
  <c r="BF297" i="5" s="1"/>
  <c r="AV61" i="5"/>
  <c r="BF61" i="5" s="1"/>
  <c r="BG61" i="5" s="1"/>
  <c r="AV413" i="5"/>
  <c r="BF413" i="5" s="1"/>
  <c r="AV277" i="5"/>
  <c r="BF277" i="5" s="1"/>
  <c r="AV44" i="5"/>
  <c r="BF44" i="5" s="1"/>
  <c r="BG44" i="5" s="1"/>
  <c r="AV270" i="5"/>
  <c r="BF270" i="5" s="1"/>
  <c r="AV95" i="5"/>
  <c r="BF95" i="5" s="1"/>
  <c r="AV482" i="5"/>
  <c r="BF482" i="5" s="1"/>
  <c r="AV529" i="5"/>
  <c r="BF529" i="5" s="1"/>
  <c r="AV151" i="5"/>
  <c r="BF151" i="5" s="1"/>
  <c r="AV67" i="5"/>
  <c r="BF67" i="5" s="1"/>
  <c r="AV167" i="5"/>
  <c r="BF167" i="5" s="1"/>
  <c r="AV375" i="5"/>
  <c r="BF375" i="5" s="1"/>
  <c r="AV314" i="5"/>
  <c r="BF314" i="5" s="1"/>
  <c r="AV300" i="5"/>
  <c r="BF300" i="5" s="1"/>
  <c r="BH300" i="5" s="1"/>
  <c r="AV166" i="5"/>
  <c r="BF166" i="5" s="1"/>
  <c r="BH166" i="5" s="1"/>
  <c r="AV76" i="5"/>
  <c r="BF76" i="5" s="1"/>
  <c r="AV41" i="5"/>
  <c r="BF41" i="5" s="1"/>
  <c r="BG41" i="5" s="1"/>
  <c r="AV347" i="5"/>
  <c r="BF347" i="5" s="1"/>
  <c r="AV325" i="5"/>
  <c r="BF325" i="5" s="1"/>
  <c r="AV137" i="5"/>
  <c r="BF137" i="5" s="1"/>
  <c r="AV189" i="5"/>
  <c r="BF189" i="5" s="1"/>
  <c r="AV352" i="5"/>
  <c r="BF352" i="5" s="1"/>
  <c r="BH352" i="5" s="1"/>
  <c r="AV295" i="5"/>
  <c r="BF295" i="5" s="1"/>
  <c r="AV244" i="5"/>
  <c r="BF244" i="5" s="1"/>
  <c r="AV474" i="5"/>
  <c r="BF474" i="5" s="1"/>
  <c r="AV119" i="5"/>
  <c r="BF119" i="5" s="1"/>
  <c r="BG119" i="5" s="1"/>
  <c r="AV338" i="5"/>
  <c r="BF338" i="5" s="1"/>
  <c r="BG338" i="5" s="1"/>
  <c r="AV239" i="5"/>
  <c r="BF239" i="5" s="1"/>
  <c r="AV89" i="5"/>
  <c r="BF89" i="5" s="1"/>
  <c r="AV260" i="5"/>
  <c r="BF260" i="5" s="1"/>
  <c r="AV278" i="5"/>
  <c r="BF278" i="5" s="1"/>
  <c r="BG278" i="5" s="1"/>
  <c r="AV232" i="5"/>
  <c r="BF232" i="5" s="1"/>
  <c r="AV52" i="5"/>
  <c r="BF52" i="5" s="1"/>
  <c r="AV77" i="5"/>
  <c r="BF77" i="5" s="1"/>
  <c r="AV249" i="5"/>
  <c r="BF249" i="5" s="1"/>
  <c r="AV288" i="5"/>
  <c r="BF288" i="5" s="1"/>
  <c r="AV186" i="5"/>
  <c r="BF186" i="5" s="1"/>
  <c r="AV130" i="5"/>
  <c r="BF130" i="5" s="1"/>
  <c r="BH130" i="5" s="1"/>
  <c r="AV49" i="5"/>
  <c r="BF49" i="5" s="1"/>
  <c r="AV385" i="5"/>
  <c r="BF385" i="5" s="1"/>
  <c r="AV480" i="5"/>
  <c r="BF480" i="5" s="1"/>
  <c r="AV316" i="5"/>
  <c r="BF316" i="5" s="1"/>
  <c r="BG316" i="5" s="1"/>
  <c r="AV87" i="5"/>
  <c r="BF87" i="5" s="1"/>
  <c r="AV465" i="5"/>
  <c r="BF465" i="5" s="1"/>
  <c r="AV363" i="5"/>
  <c r="BF363" i="5" s="1"/>
  <c r="AV424" i="5"/>
  <c r="BF424" i="5" s="1"/>
  <c r="AV281" i="5"/>
  <c r="BF281" i="5" s="1"/>
  <c r="AV537" i="5"/>
  <c r="BF537" i="5" s="1"/>
  <c r="BG537" i="5" s="1"/>
  <c r="AV275" i="5"/>
  <c r="BF275" i="5" s="1"/>
  <c r="AV372" i="5"/>
  <c r="BF372" i="5" s="1"/>
  <c r="AV129" i="5"/>
  <c r="BF129" i="5" s="1"/>
  <c r="AV427" i="5"/>
  <c r="BF427" i="5" s="1"/>
  <c r="AV108" i="5"/>
  <c r="BF108" i="5" s="1"/>
  <c r="AV421" i="5"/>
  <c r="BF421" i="5" s="1"/>
  <c r="AV543" i="5"/>
  <c r="BF543" i="5" s="1"/>
  <c r="BH543" i="5" s="1"/>
  <c r="AV7" i="5"/>
  <c r="BF7" i="5" s="1"/>
  <c r="BG7" i="5" s="1"/>
  <c r="AV555" i="5"/>
  <c r="BF555" i="5" s="1"/>
  <c r="BH555" i="5" s="1"/>
  <c r="AV509" i="5"/>
  <c r="BF509" i="5" s="1"/>
  <c r="AV491" i="5"/>
  <c r="BF491" i="5" s="1"/>
  <c r="AV440" i="5"/>
  <c r="BF440" i="5" s="1"/>
  <c r="AV94" i="5"/>
  <c r="BF94" i="5" s="1"/>
  <c r="BG94" i="5" s="1"/>
  <c r="AV437" i="5"/>
  <c r="BF437" i="5" s="1"/>
  <c r="AV285" i="5"/>
  <c r="BF285" i="5" s="1"/>
  <c r="AV545" i="5"/>
  <c r="BF545" i="5" s="1"/>
  <c r="AV549" i="5"/>
  <c r="BF549" i="5" s="1"/>
  <c r="BH549" i="5" s="1"/>
  <c r="AV136" i="5"/>
  <c r="BF136" i="5" s="1"/>
  <c r="AV296" i="5"/>
  <c r="BF296" i="5" s="1"/>
  <c r="BG296" i="5" s="1"/>
  <c r="AV262" i="5"/>
  <c r="BF262" i="5" s="1"/>
  <c r="BH262" i="5" s="1"/>
  <c r="AV245" i="5"/>
  <c r="BF245" i="5" s="1"/>
  <c r="BG245" i="5" s="1"/>
  <c r="AV289" i="5"/>
  <c r="BF289" i="5" s="1"/>
  <c r="AV280" i="5"/>
  <c r="BF280" i="5" s="1"/>
  <c r="AV59" i="5"/>
  <c r="BF59" i="5" s="1"/>
  <c r="BH59" i="5" s="1"/>
  <c r="AV190" i="5"/>
  <c r="BF190" i="5" s="1"/>
  <c r="AV559" i="5"/>
  <c r="BF559" i="5" s="1"/>
  <c r="AV226" i="5"/>
  <c r="BF226" i="5" s="1"/>
  <c r="AV309" i="5"/>
  <c r="BF309" i="5" s="1"/>
  <c r="AV185" i="5"/>
  <c r="BF185" i="5" s="1"/>
  <c r="AV379" i="5"/>
  <c r="BF379" i="5" s="1"/>
  <c r="AV242" i="5"/>
  <c r="BF242" i="5" s="1"/>
  <c r="AV553" i="5"/>
  <c r="BF553" i="5" s="1"/>
  <c r="AV362" i="5"/>
  <c r="BF362" i="5" s="1"/>
  <c r="AV150" i="5"/>
  <c r="BF150" i="5" s="1"/>
  <c r="AV525" i="5"/>
  <c r="BF525" i="5" s="1"/>
  <c r="AV345" i="5"/>
  <c r="BF345" i="5" s="1"/>
  <c r="AV92" i="5"/>
  <c r="BF92" i="5" s="1"/>
  <c r="AV298" i="5"/>
  <c r="BF298" i="5" s="1"/>
  <c r="AV191" i="5"/>
  <c r="BF191" i="5" s="1"/>
  <c r="BH191" i="5" s="1"/>
  <c r="AV462" i="5"/>
  <c r="BF462" i="5" s="1"/>
  <c r="BG462" i="5" s="1"/>
  <c r="AV432" i="5"/>
  <c r="BF432" i="5" s="1"/>
  <c r="AV412" i="5"/>
  <c r="BF412" i="5" s="1"/>
  <c r="AV521" i="5"/>
  <c r="BF521" i="5" s="1"/>
  <c r="BG521" i="5" s="1"/>
  <c r="AV353" i="5"/>
  <c r="BF353" i="5" s="1"/>
  <c r="AV401" i="5"/>
  <c r="BF401" i="5" s="1"/>
  <c r="AV90" i="5"/>
  <c r="BF90" i="5" s="1"/>
  <c r="AV453" i="5"/>
  <c r="BF453" i="5" s="1"/>
  <c r="BG453" i="5" s="1"/>
  <c r="AV450" i="5"/>
  <c r="BF450" i="5" s="1"/>
  <c r="AV360" i="5"/>
  <c r="BF360" i="5" s="1"/>
  <c r="AV344" i="5"/>
  <c r="BF344" i="5" s="1"/>
  <c r="BH344" i="5" s="1"/>
  <c r="AV392" i="5"/>
  <c r="BF392" i="5" s="1"/>
  <c r="AV251" i="5"/>
  <c r="BF251" i="5" s="1"/>
  <c r="AV510" i="5"/>
  <c r="BF510" i="5" s="1"/>
  <c r="AV560" i="5"/>
  <c r="BF560" i="5" s="1"/>
  <c r="BH560" i="5" s="1"/>
  <c r="AV536" i="5"/>
  <c r="BF536" i="5" s="1"/>
  <c r="BG536" i="5" s="1"/>
  <c r="AV476" i="5"/>
  <c r="BF476" i="5" s="1"/>
  <c r="AV477" i="5"/>
  <c r="BF477" i="5" s="1"/>
  <c r="AV503" i="5"/>
  <c r="BF503" i="5" s="1"/>
  <c r="AV469" i="5"/>
  <c r="BF469" i="5" s="1"/>
  <c r="BG469" i="5" s="1"/>
  <c r="AV10" i="5"/>
  <c r="AV70" i="5"/>
  <c r="BF70" i="5" s="1"/>
  <c r="BG70" i="5" s="1"/>
  <c r="AV209" i="5"/>
  <c r="BF209" i="5" s="1"/>
  <c r="AV400" i="5"/>
  <c r="BF400" i="5" s="1"/>
  <c r="AV233" i="5"/>
  <c r="BF233" i="5" s="1"/>
  <c r="AV415" i="5"/>
  <c r="BF415" i="5" s="1"/>
  <c r="AV80" i="5"/>
  <c r="BF80" i="5" s="1"/>
  <c r="AV294" i="5"/>
  <c r="BF294" i="5" s="1"/>
  <c r="AV73" i="5"/>
  <c r="BF73" i="5" s="1"/>
  <c r="AV113" i="5"/>
  <c r="BF113" i="5" s="1"/>
  <c r="BG113" i="5" s="1"/>
  <c r="AV533" i="5"/>
  <c r="BF533" i="5" s="1"/>
  <c r="BG533" i="5" s="1"/>
  <c r="AV478" i="5"/>
  <c r="BF478" i="5" s="1"/>
  <c r="AV9" i="5"/>
  <c r="AV218" i="5"/>
  <c r="BF218" i="5" s="1"/>
  <c r="AV132" i="5"/>
  <c r="BF132" i="5" s="1"/>
  <c r="AV557" i="5"/>
  <c r="BF557" i="5" s="1"/>
  <c r="AV293" i="5"/>
  <c r="BF293" i="5" s="1"/>
  <c r="AV501" i="5"/>
  <c r="BF501" i="5" s="1"/>
  <c r="AV126" i="5"/>
  <c r="BF126" i="5" s="1"/>
  <c r="AV499" i="5"/>
  <c r="BF499" i="5" s="1"/>
  <c r="AV541" i="5"/>
  <c r="BF541" i="5" s="1"/>
  <c r="AV481" i="5"/>
  <c r="BF481" i="5" s="1"/>
  <c r="BG481" i="5" s="1"/>
  <c r="AV236" i="5"/>
  <c r="BF236" i="5" s="1"/>
  <c r="BG236" i="5" s="1"/>
  <c r="AV554" i="5"/>
  <c r="BF554" i="5" s="1"/>
  <c r="AV286" i="5"/>
  <c r="BF286" i="5" s="1"/>
  <c r="AV273" i="5"/>
  <c r="BF273" i="5" s="1"/>
  <c r="AV487" i="5"/>
  <c r="BF487" i="5" s="1"/>
  <c r="AV470" i="5"/>
  <c r="BF470" i="5" s="1"/>
  <c r="BH470" i="5" s="1"/>
  <c r="AV68" i="5"/>
  <c r="BF68" i="5" s="1"/>
  <c r="AV221" i="5"/>
  <c r="BF221" i="5" s="1"/>
  <c r="BH221" i="5" s="1"/>
  <c r="AV317" i="5"/>
  <c r="BF317" i="5" s="1"/>
  <c r="AV8" i="5"/>
  <c r="BF8" i="5" s="1"/>
  <c r="BG8" i="5" s="1"/>
  <c r="AV329" i="5"/>
  <c r="BF329" i="5" s="1"/>
  <c r="BH329" i="5" s="1"/>
  <c r="AV447" i="5"/>
  <c r="BF447" i="5" s="1"/>
  <c r="AV351" i="5"/>
  <c r="BF351" i="5" s="1"/>
  <c r="AV532" i="5"/>
  <c r="BF532" i="5" s="1"/>
  <c r="AV546" i="5"/>
  <c r="BF546" i="5" s="1"/>
  <c r="AV414" i="5"/>
  <c r="BF414" i="5" s="1"/>
  <c r="AV387" i="5"/>
  <c r="BF387" i="5" s="1"/>
  <c r="AV318" i="5"/>
  <c r="BF318" i="5" s="1"/>
  <c r="AV272" i="5"/>
  <c r="BF272" i="5" s="1"/>
  <c r="AV523" i="5"/>
  <c r="BF523" i="5" s="1"/>
  <c r="AV188" i="5"/>
  <c r="BF188" i="5" s="1"/>
  <c r="BH188" i="5" s="1"/>
  <c r="AV495" i="5"/>
  <c r="BF495" i="5" s="1"/>
  <c r="BH495" i="5" s="1"/>
  <c r="AV276" i="5"/>
  <c r="BF276" i="5" s="1"/>
  <c r="AV356" i="5"/>
  <c r="BF356" i="5" s="1"/>
  <c r="BG356" i="5" s="1"/>
  <c r="AV243" i="5"/>
  <c r="BF243" i="5" s="1"/>
  <c r="AV261" i="5"/>
  <c r="BF261" i="5" s="1"/>
  <c r="AV19" i="5"/>
  <c r="BF19" i="5" s="1"/>
  <c r="BE552" i="5"/>
  <c r="BD552" i="5"/>
  <c r="BE539" i="5"/>
  <c r="BD539" i="5"/>
  <c r="BD514" i="5"/>
  <c r="BE514" i="5"/>
  <c r="BD273" i="5"/>
  <c r="BE273" i="5"/>
  <c r="BE376" i="5"/>
  <c r="BD376" i="5"/>
  <c r="BD90" i="5"/>
  <c r="BE90" i="5"/>
  <c r="BE456" i="5"/>
  <c r="BD456" i="5"/>
  <c r="BD498" i="5"/>
  <c r="BE498" i="5"/>
  <c r="BD349" i="5"/>
  <c r="BE349" i="5"/>
  <c r="BD258" i="5"/>
  <c r="BE258" i="5"/>
  <c r="BE155" i="5"/>
  <c r="BD155" i="5"/>
  <c r="BD534" i="5"/>
  <c r="BE534" i="5"/>
  <c r="BD519" i="5"/>
  <c r="BE519" i="5"/>
  <c r="BD379" i="5"/>
  <c r="BE379" i="5"/>
  <c r="BD385" i="5"/>
  <c r="BE385" i="5"/>
  <c r="BE170" i="5"/>
  <c r="BD170" i="5"/>
  <c r="BE513" i="5"/>
  <c r="BD513" i="5"/>
  <c r="BE441" i="5"/>
  <c r="BD441" i="5"/>
  <c r="BD204" i="5"/>
  <c r="BE204" i="5"/>
  <c r="BD535" i="5"/>
  <c r="BE535" i="5"/>
  <c r="BD445" i="5"/>
  <c r="BE445" i="5"/>
  <c r="BD485" i="5"/>
  <c r="BE485" i="5"/>
  <c r="BD520" i="5"/>
  <c r="BE520" i="5"/>
  <c r="BE487" i="5"/>
  <c r="BD487" i="5"/>
  <c r="BE434" i="5"/>
  <c r="BD434" i="5"/>
  <c r="BD506" i="5"/>
  <c r="BE506" i="5"/>
  <c r="BD427" i="5"/>
  <c r="BE427" i="5"/>
  <c r="BE497" i="5"/>
  <c r="BD497" i="5"/>
  <c r="BD362" i="5"/>
  <c r="BE362" i="5"/>
  <c r="BE355" i="5"/>
  <c r="BD355" i="5"/>
  <c r="BD209" i="5"/>
  <c r="BE209" i="5"/>
  <c r="BE370" i="5"/>
  <c r="BD370" i="5"/>
  <c r="BD436" i="5"/>
  <c r="BE436" i="5"/>
  <c r="BE319" i="5"/>
  <c r="BD319" i="5"/>
  <c r="BE272" i="5"/>
  <c r="BD272" i="5"/>
  <c r="BE182" i="5"/>
  <c r="BD182" i="5"/>
  <c r="BE124" i="5"/>
  <c r="BD124" i="5"/>
  <c r="BD79" i="5"/>
  <c r="BE79" i="5"/>
  <c r="BE537" i="5"/>
  <c r="BD537" i="5"/>
  <c r="BD481" i="5"/>
  <c r="BE481" i="5"/>
  <c r="BD557" i="5"/>
  <c r="BE557" i="5"/>
  <c r="BD328" i="5"/>
  <c r="BE328" i="5"/>
  <c r="BE505" i="5"/>
  <c r="BD505" i="5"/>
  <c r="BE473" i="5"/>
  <c r="BD473" i="5"/>
  <c r="BD387" i="5"/>
  <c r="BE387" i="5"/>
  <c r="BE474" i="5"/>
  <c r="BD474" i="5"/>
  <c r="BE394" i="5"/>
  <c r="BD394" i="5"/>
  <c r="BD472" i="5"/>
  <c r="BE472" i="5"/>
  <c r="BE406" i="5"/>
  <c r="BD406" i="5"/>
  <c r="BE340" i="5"/>
  <c r="BD340" i="5"/>
  <c r="BD408" i="5"/>
  <c r="BE408" i="5"/>
  <c r="BD356" i="5"/>
  <c r="BE356" i="5"/>
  <c r="BD420" i="5"/>
  <c r="BE420" i="5"/>
  <c r="BD343" i="5"/>
  <c r="BE343" i="5"/>
  <c r="BE281" i="5"/>
  <c r="BD281" i="5"/>
  <c r="BE203" i="5"/>
  <c r="BD203" i="5"/>
  <c r="BD106" i="5"/>
  <c r="BE106" i="5"/>
  <c r="BD28" i="5"/>
  <c r="BE28" i="5"/>
  <c r="BE542" i="5"/>
  <c r="BD542" i="5"/>
  <c r="BE524" i="5"/>
  <c r="BD524" i="5"/>
  <c r="BE517" i="5"/>
  <c r="BD517" i="5"/>
  <c r="BE523" i="5"/>
  <c r="BD523" i="5"/>
  <c r="BE489" i="5"/>
  <c r="BD489" i="5"/>
  <c r="BE443" i="5"/>
  <c r="BD443" i="5"/>
  <c r="BD511" i="5"/>
  <c r="BE511" i="5"/>
  <c r="BD439" i="5"/>
  <c r="BE439" i="5"/>
  <c r="BD515" i="5"/>
  <c r="BE515" i="5"/>
  <c r="BD401" i="5"/>
  <c r="BE401" i="5"/>
  <c r="BE366" i="5"/>
  <c r="BD366" i="5"/>
  <c r="BD254" i="5"/>
  <c r="BE254" i="5"/>
  <c r="BD377" i="5"/>
  <c r="BE377" i="5"/>
  <c r="BD250" i="5"/>
  <c r="BE250" i="5"/>
  <c r="BE360" i="5"/>
  <c r="BD360" i="5"/>
  <c r="BE321" i="5"/>
  <c r="BD321" i="5"/>
  <c r="BD217" i="5"/>
  <c r="BE217" i="5"/>
  <c r="BD104" i="5"/>
  <c r="BE104" i="5"/>
  <c r="BE77" i="5"/>
  <c r="BD77" i="5"/>
  <c r="BD19" i="5"/>
  <c r="BE19" i="5"/>
  <c r="BE501" i="5"/>
  <c r="BD501" i="5"/>
  <c r="BD558" i="5"/>
  <c r="BE558" i="5"/>
  <c r="BE425" i="5"/>
  <c r="BD425" i="5"/>
  <c r="BE509" i="5"/>
  <c r="BD509" i="5"/>
  <c r="BE479" i="5"/>
  <c r="BD479" i="5"/>
  <c r="BD405" i="5"/>
  <c r="BE405" i="5"/>
  <c r="BE480" i="5"/>
  <c r="BD480" i="5"/>
  <c r="BD403" i="5"/>
  <c r="BE403" i="5"/>
  <c r="BD478" i="5"/>
  <c r="BE478" i="5"/>
  <c r="BE416" i="5"/>
  <c r="BD416" i="5"/>
  <c r="BD342" i="5"/>
  <c r="BE342" i="5"/>
  <c r="BE417" i="5"/>
  <c r="BD417" i="5"/>
  <c r="BE361" i="5"/>
  <c r="BD361" i="5"/>
  <c r="BD428" i="5"/>
  <c r="BE428" i="5"/>
  <c r="BD358" i="5"/>
  <c r="BE358" i="5"/>
  <c r="BE307" i="5"/>
  <c r="BD307" i="5"/>
  <c r="BD205" i="5"/>
  <c r="BE205" i="5"/>
  <c r="BE128" i="5"/>
  <c r="BD128" i="5"/>
  <c r="BE58" i="5"/>
  <c r="BD58" i="5"/>
  <c r="BD543" i="5"/>
  <c r="BE543" i="5"/>
  <c r="BD493" i="5"/>
  <c r="BE493" i="5"/>
  <c r="BE447" i="5"/>
  <c r="BD447" i="5"/>
  <c r="BD442" i="5"/>
  <c r="BE442" i="5"/>
  <c r="BD260" i="5"/>
  <c r="BE260" i="5"/>
  <c r="BD244" i="5"/>
  <c r="BE244" i="5"/>
  <c r="BD36" i="5"/>
  <c r="BE36" i="5"/>
  <c r="BD437" i="5"/>
  <c r="BE437" i="5"/>
  <c r="BE486" i="5"/>
  <c r="BD486" i="5"/>
  <c r="BE426" i="5"/>
  <c r="BD426" i="5"/>
  <c r="BD354" i="5"/>
  <c r="BE354" i="5"/>
  <c r="BD365" i="5"/>
  <c r="BE365" i="5"/>
  <c r="BE253" i="5"/>
  <c r="BD253" i="5"/>
  <c r="BD49" i="5"/>
  <c r="BE49" i="5"/>
  <c r="BD549" i="5"/>
  <c r="BE549" i="5"/>
  <c r="BD495" i="5"/>
  <c r="BE495" i="5"/>
  <c r="BE462" i="5"/>
  <c r="BD462" i="5"/>
  <c r="BE457" i="5"/>
  <c r="BD457" i="5"/>
  <c r="BD389" i="5"/>
  <c r="BE389" i="5"/>
  <c r="BD275" i="5"/>
  <c r="BE275" i="5"/>
  <c r="BE102" i="5"/>
  <c r="BD102" i="5"/>
  <c r="BE541" i="5"/>
  <c r="BD541" i="5"/>
  <c r="BD522" i="5"/>
  <c r="BE522" i="5"/>
  <c r="BD507" i="5"/>
  <c r="BE507" i="5"/>
  <c r="BE504" i="5"/>
  <c r="BD504" i="5"/>
  <c r="BD364" i="5"/>
  <c r="BE364" i="5"/>
  <c r="BE375" i="5"/>
  <c r="BD375" i="5"/>
  <c r="BE294" i="5"/>
  <c r="BD294" i="5"/>
  <c r="BE142" i="5"/>
  <c r="BD142" i="5"/>
  <c r="BD546" i="5"/>
  <c r="BE546" i="5"/>
  <c r="BE491" i="5"/>
  <c r="BD491" i="5"/>
  <c r="BD560" i="5"/>
  <c r="BE560" i="5"/>
  <c r="BD421" i="5"/>
  <c r="BE421" i="5"/>
  <c r="BD508" i="5"/>
  <c r="BE508" i="5"/>
  <c r="BE476" i="5"/>
  <c r="BD476" i="5"/>
  <c r="BD396" i="5"/>
  <c r="BE396" i="5"/>
  <c r="BE477" i="5"/>
  <c r="BD477" i="5"/>
  <c r="BD397" i="5"/>
  <c r="BE397" i="5"/>
  <c r="BD475" i="5"/>
  <c r="BE475" i="5"/>
  <c r="BD415" i="5"/>
  <c r="BE415" i="5"/>
  <c r="BD341" i="5"/>
  <c r="BE341" i="5"/>
  <c r="BE413" i="5"/>
  <c r="BD413" i="5"/>
  <c r="BD359" i="5"/>
  <c r="BE359" i="5"/>
  <c r="BE423" i="5"/>
  <c r="BD423" i="5"/>
  <c r="BD357" i="5"/>
  <c r="BE357" i="5"/>
  <c r="BE291" i="5"/>
  <c r="BD291" i="5"/>
  <c r="BE165" i="5"/>
  <c r="BD165" i="5"/>
  <c r="BD120" i="5"/>
  <c r="BE120" i="5"/>
  <c r="BD63" i="5"/>
  <c r="BE63" i="5"/>
  <c r="BE438" i="5"/>
  <c r="BD438" i="5"/>
  <c r="BD550" i="5"/>
  <c r="BE550" i="5"/>
  <c r="BD536" i="5"/>
  <c r="BE536" i="5"/>
  <c r="BD555" i="5"/>
  <c r="BE555" i="5"/>
  <c r="BE499" i="5"/>
  <c r="BD499" i="5"/>
  <c r="BD455" i="5"/>
  <c r="BE455" i="5"/>
  <c r="BE308" i="5"/>
  <c r="BD308" i="5"/>
  <c r="BD465" i="5"/>
  <c r="BE465" i="5"/>
  <c r="BE270" i="5"/>
  <c r="BD270" i="5"/>
  <c r="BD458" i="5"/>
  <c r="BE458" i="5"/>
  <c r="BE388" i="5"/>
  <c r="BD388" i="5"/>
  <c r="BD289" i="5"/>
  <c r="BE289" i="5"/>
  <c r="BE390" i="5"/>
  <c r="BD390" i="5"/>
  <c r="BD304" i="5"/>
  <c r="BE304" i="5"/>
  <c r="BE404" i="5"/>
  <c r="BD404" i="5"/>
  <c r="BE301" i="5"/>
  <c r="BD301" i="5"/>
  <c r="BE239" i="5"/>
  <c r="BD239" i="5"/>
  <c r="BE185" i="5"/>
  <c r="BD185" i="5"/>
  <c r="BD87" i="5"/>
  <c r="BE87" i="5"/>
  <c r="BD33" i="5"/>
  <c r="BE33" i="5"/>
  <c r="BD528" i="5"/>
  <c r="BE528" i="5"/>
  <c r="BE433" i="5"/>
  <c r="BD433" i="5"/>
  <c r="BE449" i="5"/>
  <c r="BD449" i="5"/>
  <c r="BE510" i="5"/>
  <c r="BD510" i="5"/>
  <c r="BD482" i="5"/>
  <c r="BE482" i="5"/>
  <c r="BE430" i="5"/>
  <c r="BD430" i="5"/>
  <c r="BE484" i="5"/>
  <c r="BD484" i="5"/>
  <c r="BE412" i="5"/>
  <c r="BD412" i="5"/>
  <c r="BD490" i="5"/>
  <c r="BE490" i="5"/>
  <c r="BD311" i="5"/>
  <c r="BE311" i="5"/>
  <c r="BE348" i="5"/>
  <c r="BD348" i="5"/>
  <c r="BE418" i="5"/>
  <c r="BD418" i="5"/>
  <c r="BD363" i="5"/>
  <c r="BE363" i="5"/>
  <c r="BD431" i="5"/>
  <c r="BE431" i="5"/>
  <c r="BE224" i="5"/>
  <c r="BD224" i="5"/>
  <c r="BE327" i="5"/>
  <c r="BD327" i="5"/>
  <c r="BD216" i="5"/>
  <c r="BE216" i="5"/>
  <c r="BD146" i="5"/>
  <c r="BE146" i="5"/>
  <c r="BD57" i="5"/>
  <c r="BE57" i="5"/>
  <c r="BE464" i="5"/>
  <c r="BD464" i="5"/>
  <c r="BD407" i="5"/>
  <c r="BE407" i="5"/>
  <c r="BE548" i="5"/>
  <c r="BD548" i="5"/>
  <c r="BD229" i="5"/>
  <c r="BE229" i="5"/>
  <c r="BE502" i="5"/>
  <c r="BD502" i="5"/>
  <c r="BD466" i="5"/>
  <c r="BE466" i="5"/>
  <c r="BE353" i="5"/>
  <c r="BD353" i="5"/>
  <c r="BE468" i="5"/>
  <c r="BD468" i="5"/>
  <c r="BD382" i="5"/>
  <c r="BE382" i="5"/>
  <c r="BE460" i="5"/>
  <c r="BD460" i="5"/>
  <c r="BE398" i="5"/>
  <c r="BD398" i="5"/>
  <c r="BE333" i="5"/>
  <c r="BD333" i="5"/>
  <c r="BD399" i="5"/>
  <c r="BE399" i="5"/>
  <c r="BE345" i="5"/>
  <c r="BD345" i="5"/>
  <c r="BD410" i="5"/>
  <c r="BE410" i="5"/>
  <c r="BD320" i="5"/>
  <c r="BE320" i="5"/>
  <c r="BE259" i="5"/>
  <c r="BD259" i="5"/>
  <c r="BE162" i="5"/>
  <c r="BD162" i="5"/>
  <c r="BE129" i="5"/>
  <c r="BD129" i="5"/>
  <c r="BE42" i="5"/>
  <c r="BD42" i="5"/>
  <c r="BD527" i="5"/>
  <c r="BE527" i="5"/>
  <c r="BD451" i="5"/>
  <c r="BE451" i="5"/>
  <c r="BD526" i="5"/>
  <c r="BE526" i="5"/>
  <c r="BD374" i="5"/>
  <c r="BE374" i="5"/>
  <c r="BD384" i="5"/>
  <c r="BE384" i="5"/>
  <c r="BD248" i="5"/>
  <c r="BE248" i="5"/>
  <c r="BE181" i="5"/>
  <c r="BD181" i="5"/>
  <c r="BD533" i="5"/>
  <c r="BE533" i="5"/>
  <c r="BE518" i="5"/>
  <c r="BD518" i="5"/>
  <c r="BE432" i="5"/>
  <c r="BD432" i="5"/>
  <c r="BD496" i="5"/>
  <c r="BE496" i="5"/>
  <c r="BE419" i="5"/>
  <c r="BD419" i="5"/>
  <c r="BD435" i="5"/>
  <c r="BE435" i="5"/>
  <c r="BE233" i="5"/>
  <c r="BD233" i="5"/>
  <c r="BD372" i="5"/>
  <c r="BE372" i="5"/>
  <c r="BE554" i="5"/>
  <c r="BD554" i="5"/>
  <c r="BE454" i="5"/>
  <c r="BD454" i="5"/>
  <c r="BE532" i="5"/>
  <c r="BD532" i="5"/>
  <c r="BE286" i="5"/>
  <c r="BD286" i="5"/>
  <c r="BD293" i="5"/>
  <c r="BE293" i="5"/>
  <c r="BE215" i="5"/>
  <c r="BD215" i="5"/>
  <c r="BE448" i="5"/>
  <c r="BD448" i="5"/>
  <c r="BE488" i="5"/>
  <c r="BD488" i="5"/>
  <c r="BE429" i="5"/>
  <c r="BD429" i="5"/>
  <c r="BD368" i="5"/>
  <c r="BE368" i="5"/>
  <c r="BD245" i="5"/>
  <c r="BE245" i="5"/>
  <c r="BE440" i="5"/>
  <c r="BD440" i="5"/>
  <c r="BE335" i="5"/>
  <c r="BD335" i="5"/>
  <c r="BD62" i="5"/>
  <c r="BE62" i="5"/>
  <c r="BE450" i="5"/>
  <c r="BD450" i="5"/>
  <c r="BE551" i="5"/>
  <c r="BD551" i="5"/>
  <c r="BE540" i="5"/>
  <c r="BD540" i="5"/>
  <c r="BE556" i="5"/>
  <c r="BD556" i="5"/>
  <c r="BE500" i="5"/>
  <c r="BD500" i="5"/>
  <c r="BE463" i="5"/>
  <c r="BD463" i="5"/>
  <c r="BE347" i="5"/>
  <c r="BD347" i="5"/>
  <c r="BE467" i="5"/>
  <c r="BD467" i="5"/>
  <c r="BD325" i="5"/>
  <c r="BE325" i="5"/>
  <c r="BE459" i="5"/>
  <c r="BD459" i="5"/>
  <c r="BE395" i="5"/>
  <c r="BD395" i="5"/>
  <c r="BD292" i="5"/>
  <c r="BE292" i="5"/>
  <c r="BD392" i="5"/>
  <c r="BE392" i="5"/>
  <c r="BD334" i="5"/>
  <c r="BE334" i="5"/>
  <c r="BE409" i="5"/>
  <c r="BD409" i="5"/>
  <c r="BE310" i="5"/>
  <c r="BD310" i="5"/>
  <c r="BD193" i="5"/>
  <c r="BE193" i="5"/>
  <c r="BE143" i="5"/>
  <c r="BD143" i="5"/>
  <c r="BD99" i="5"/>
  <c r="BE99" i="5"/>
  <c r="BD46" i="5"/>
  <c r="BE46" i="5"/>
  <c r="BD547" i="5"/>
  <c r="BE547" i="5"/>
  <c r="BE538" i="5"/>
  <c r="BD538" i="5"/>
  <c r="BD521" i="5"/>
  <c r="BE521" i="5"/>
  <c r="BE530" i="5"/>
  <c r="BD530" i="5"/>
  <c r="BD492" i="5"/>
  <c r="BE492" i="5"/>
  <c r="BE444" i="5"/>
  <c r="BD444" i="5"/>
  <c r="BD512" i="5"/>
  <c r="BE512" i="5"/>
  <c r="BD446" i="5"/>
  <c r="BE446" i="5"/>
  <c r="BE525" i="5"/>
  <c r="BD525" i="5"/>
  <c r="BD422" i="5"/>
  <c r="BE422" i="5"/>
  <c r="BD371" i="5"/>
  <c r="BE371" i="5"/>
  <c r="BE267" i="5"/>
  <c r="BD267" i="5"/>
  <c r="BE380" i="5"/>
  <c r="BD380" i="5"/>
  <c r="BE252" i="5"/>
  <c r="BD252" i="5"/>
  <c r="BE367" i="5"/>
  <c r="BD367" i="5"/>
  <c r="BE192" i="5"/>
  <c r="BD192" i="5"/>
  <c r="BE228" i="5"/>
  <c r="BD228" i="5"/>
  <c r="BD167" i="5"/>
  <c r="BE167" i="5"/>
  <c r="BE93" i="5"/>
  <c r="BD93" i="5"/>
  <c r="BE483" i="5"/>
  <c r="BD483" i="5"/>
  <c r="BD424" i="5"/>
  <c r="BE424" i="5"/>
  <c r="BE553" i="5"/>
  <c r="BD553" i="5"/>
  <c r="BD297" i="5"/>
  <c r="BE297" i="5"/>
  <c r="BD503" i="5"/>
  <c r="BE503" i="5"/>
  <c r="BE469" i="5"/>
  <c r="BD469" i="5"/>
  <c r="BE381" i="5"/>
  <c r="BD381" i="5"/>
  <c r="BD470" i="5"/>
  <c r="BE470" i="5"/>
  <c r="BE391" i="5"/>
  <c r="BD391" i="5"/>
  <c r="BE471" i="5"/>
  <c r="BD471" i="5"/>
  <c r="BE400" i="5"/>
  <c r="BD400" i="5"/>
  <c r="BD336" i="5"/>
  <c r="BE336" i="5"/>
  <c r="BE402" i="5"/>
  <c r="BD402" i="5"/>
  <c r="BD350" i="5"/>
  <c r="BE350" i="5"/>
  <c r="BE414" i="5"/>
  <c r="BD414" i="5"/>
  <c r="BE330" i="5"/>
  <c r="BD330" i="5"/>
  <c r="BD271" i="5"/>
  <c r="BE271" i="5"/>
  <c r="BD187" i="5"/>
  <c r="BE187" i="5"/>
  <c r="BE151" i="5"/>
  <c r="BD151" i="5"/>
  <c r="BD67" i="5"/>
  <c r="BE67" i="5"/>
  <c r="BE559" i="5"/>
  <c r="BD559" i="5"/>
  <c r="BE544" i="5"/>
  <c r="BD544" i="5"/>
  <c r="BE529" i="5"/>
  <c r="BD529" i="5"/>
  <c r="BD545" i="5"/>
  <c r="BE545" i="5"/>
  <c r="BE494" i="5"/>
  <c r="BD494" i="5"/>
  <c r="BE453" i="5"/>
  <c r="BD453" i="5"/>
  <c r="BE516" i="5"/>
  <c r="BD516" i="5"/>
  <c r="BD461" i="5"/>
  <c r="BE461" i="5"/>
  <c r="BE531" i="5"/>
  <c r="BD531" i="5"/>
  <c r="BD452" i="5"/>
  <c r="BE452" i="5"/>
  <c r="BD378" i="5"/>
  <c r="BE378" i="5"/>
  <c r="BE280" i="5"/>
  <c r="BD280" i="5"/>
  <c r="BD386" i="5"/>
  <c r="BE386" i="5"/>
  <c r="BE277" i="5"/>
  <c r="BD277" i="5"/>
  <c r="BE383" i="5"/>
  <c r="BD383" i="5"/>
  <c r="BD257" i="5"/>
  <c r="BE257" i="5"/>
  <c r="BD186" i="5"/>
  <c r="BE186" i="5"/>
  <c r="BE153" i="5"/>
  <c r="BD153" i="5"/>
  <c r="BD96" i="5"/>
  <c r="BE96" i="5"/>
  <c r="BD25" i="5"/>
  <c r="BE25" i="5"/>
  <c r="BB364" i="5"/>
  <c r="BA364" i="5"/>
  <c r="BB511" i="5"/>
  <c r="BA511" i="5"/>
  <c r="BB438" i="5"/>
  <c r="BA438" i="5"/>
  <c r="BB530" i="5"/>
  <c r="BA530" i="5"/>
  <c r="BB514" i="5"/>
  <c r="BA514" i="5"/>
  <c r="BA558" i="5"/>
  <c r="BB558" i="5"/>
  <c r="BA510" i="5"/>
  <c r="BB510" i="5"/>
  <c r="BB523" i="5"/>
  <c r="BA523" i="5"/>
  <c r="BA303" i="5"/>
  <c r="BB303" i="5"/>
  <c r="BB447" i="5"/>
  <c r="BA447" i="5"/>
  <c r="BB421" i="5"/>
  <c r="BA421" i="5"/>
  <c r="BA454" i="5"/>
  <c r="BB454" i="5"/>
  <c r="BA403" i="5"/>
  <c r="BB403" i="5"/>
  <c r="BA497" i="5"/>
  <c r="BB497" i="5"/>
  <c r="BB547" i="5"/>
  <c r="BA547" i="5"/>
  <c r="BA417" i="5"/>
  <c r="BB417" i="5"/>
  <c r="BB512" i="5"/>
  <c r="BA512" i="5"/>
  <c r="BA264" i="5"/>
  <c r="BB264" i="5"/>
  <c r="BA344" i="5"/>
  <c r="BB344" i="5"/>
  <c r="BA267" i="5"/>
  <c r="BB267" i="5"/>
  <c r="BA232" i="5"/>
  <c r="BB232" i="5"/>
  <c r="BA142" i="5"/>
  <c r="BB142" i="5"/>
  <c r="BA86" i="5"/>
  <c r="BB86" i="5"/>
  <c r="BA94" i="5"/>
  <c r="BB94" i="5"/>
  <c r="BA27" i="5"/>
  <c r="BB27" i="5"/>
  <c r="BA389" i="5"/>
  <c r="BB389" i="5"/>
  <c r="BB260" i="5"/>
  <c r="BA260" i="5"/>
  <c r="BA284" i="5"/>
  <c r="BB284" i="5"/>
  <c r="BA175" i="5"/>
  <c r="BB175" i="5"/>
  <c r="BB151" i="5"/>
  <c r="BA151" i="5"/>
  <c r="BB103" i="5"/>
  <c r="BA103" i="5"/>
  <c r="BB66" i="5"/>
  <c r="BA66" i="5"/>
  <c r="BB384" i="5"/>
  <c r="BA384" i="5"/>
  <c r="BB316" i="5"/>
  <c r="BA316" i="5"/>
  <c r="BB230" i="5"/>
  <c r="BA230" i="5"/>
  <c r="BA172" i="5"/>
  <c r="BB172" i="5"/>
  <c r="BB173" i="5"/>
  <c r="BA173" i="5"/>
  <c r="BA64" i="5"/>
  <c r="BB64" i="5"/>
  <c r="BB97" i="5"/>
  <c r="BA97" i="5"/>
  <c r="BA60" i="5"/>
  <c r="BB60" i="5"/>
  <c r="BB61" i="5"/>
  <c r="BA61" i="5"/>
  <c r="BB21" i="5"/>
  <c r="BA21" i="5"/>
  <c r="BB22" i="5"/>
  <c r="BA22" i="5"/>
  <c r="BB427" i="5"/>
  <c r="BA427" i="5"/>
  <c r="BA370" i="5"/>
  <c r="BB370" i="5"/>
  <c r="BB297" i="5"/>
  <c r="BA297" i="5"/>
  <c r="BA280" i="5"/>
  <c r="BB280" i="5"/>
  <c r="BB329" i="5"/>
  <c r="BA329" i="5"/>
  <c r="BA253" i="5"/>
  <c r="BB253" i="5"/>
  <c r="BB216" i="5"/>
  <c r="BA216" i="5"/>
  <c r="BA231" i="5"/>
  <c r="BB231" i="5"/>
  <c r="BB214" i="5"/>
  <c r="BA214" i="5"/>
  <c r="BB188" i="5"/>
  <c r="BA188" i="5"/>
  <c r="BB176" i="5"/>
  <c r="BA176" i="5"/>
  <c r="BA131" i="5"/>
  <c r="BB131" i="5"/>
  <c r="BB141" i="5"/>
  <c r="BA141" i="5"/>
  <c r="BA135" i="5"/>
  <c r="BB135" i="5"/>
  <c r="BB95" i="5"/>
  <c r="BA95" i="5"/>
  <c r="BA70" i="5"/>
  <c r="BB70" i="5"/>
  <c r="BB65" i="5"/>
  <c r="BA65" i="5"/>
  <c r="BA34" i="5"/>
  <c r="BB34" i="5"/>
  <c r="BA33" i="5"/>
  <c r="BB33" i="5"/>
  <c r="BA407" i="5"/>
  <c r="BB407" i="5"/>
  <c r="BB529" i="5"/>
  <c r="BA529" i="5"/>
  <c r="BB471" i="5"/>
  <c r="BA471" i="5"/>
  <c r="BB560" i="5"/>
  <c r="BA560" i="5"/>
  <c r="BA414" i="5"/>
  <c r="BB414" i="5"/>
  <c r="BB453" i="5"/>
  <c r="BA453" i="5"/>
  <c r="BA531" i="5"/>
  <c r="BB531" i="5"/>
  <c r="BA456" i="5"/>
  <c r="BB456" i="5"/>
  <c r="BA495" i="5"/>
  <c r="BB495" i="5"/>
  <c r="BB274" i="5"/>
  <c r="BA274" i="5"/>
  <c r="BB404" i="5"/>
  <c r="BA404" i="5"/>
  <c r="BA481" i="5"/>
  <c r="BB481" i="5"/>
  <c r="BA372" i="5"/>
  <c r="BB372" i="5"/>
  <c r="BB360" i="5"/>
  <c r="BA360" i="5"/>
  <c r="BB548" i="5"/>
  <c r="BA548" i="5"/>
  <c r="BA550" i="5"/>
  <c r="BB550" i="5"/>
  <c r="BB542" i="5"/>
  <c r="BA542" i="5"/>
  <c r="BA464" i="5"/>
  <c r="BB464" i="5"/>
  <c r="BA411" i="5"/>
  <c r="BB411" i="5"/>
  <c r="BB502" i="5"/>
  <c r="BA502" i="5"/>
  <c r="BA449" i="5"/>
  <c r="BB449" i="5"/>
  <c r="BB506" i="5"/>
  <c r="BA506" i="5"/>
  <c r="BB446" i="5"/>
  <c r="BA446" i="5"/>
  <c r="BA396" i="5"/>
  <c r="BB396" i="5"/>
  <c r="BA420" i="5"/>
  <c r="BB420" i="5"/>
  <c r="BA342" i="5"/>
  <c r="BB342" i="5"/>
  <c r="BB557" i="5"/>
  <c r="BA557" i="5"/>
  <c r="BB554" i="5"/>
  <c r="BA554" i="5"/>
  <c r="BA549" i="5"/>
  <c r="BB549" i="5"/>
  <c r="BB540" i="5"/>
  <c r="BA540" i="5"/>
  <c r="BB460" i="5"/>
  <c r="BA460" i="5"/>
  <c r="BA402" i="5"/>
  <c r="BB402" i="5"/>
  <c r="BA499" i="5"/>
  <c r="BB499" i="5"/>
  <c r="BA443" i="5"/>
  <c r="BB443" i="5"/>
  <c r="BA505" i="5"/>
  <c r="BB505" i="5"/>
  <c r="BA444" i="5"/>
  <c r="BB444" i="5"/>
  <c r="BA391" i="5"/>
  <c r="BB391" i="5"/>
  <c r="BA415" i="5"/>
  <c r="BB415" i="5"/>
  <c r="BA336" i="5"/>
  <c r="BB336" i="5"/>
  <c r="BB555" i="5"/>
  <c r="BA555" i="5"/>
  <c r="BB551" i="5"/>
  <c r="BA551" i="5"/>
  <c r="BA532" i="5"/>
  <c r="BB532" i="5"/>
  <c r="BB538" i="5"/>
  <c r="BA538" i="5"/>
  <c r="BB458" i="5"/>
  <c r="BA458" i="5"/>
  <c r="BA393" i="5"/>
  <c r="BB393" i="5"/>
  <c r="BA494" i="5"/>
  <c r="BB494" i="5"/>
  <c r="BA441" i="5"/>
  <c r="BB441" i="5"/>
  <c r="BA500" i="5"/>
  <c r="BB500" i="5"/>
  <c r="BA440" i="5"/>
  <c r="BB440" i="5"/>
  <c r="BA387" i="5"/>
  <c r="BB387" i="5"/>
  <c r="BA406" i="5"/>
  <c r="BB406" i="5"/>
  <c r="BB318" i="5"/>
  <c r="BA318" i="5"/>
  <c r="BA379" i="5"/>
  <c r="BB379" i="5"/>
  <c r="BB307" i="5"/>
  <c r="BA307" i="5"/>
  <c r="BA308" i="5"/>
  <c r="BB308" i="5"/>
  <c r="BA250" i="5"/>
  <c r="BB250" i="5"/>
  <c r="BB293" i="5"/>
  <c r="BA293" i="5"/>
  <c r="BA177" i="5"/>
  <c r="BB177" i="5"/>
  <c r="BA269" i="5"/>
  <c r="BB269" i="5"/>
  <c r="BA223" i="5"/>
  <c r="BB223" i="5"/>
  <c r="BA239" i="5"/>
  <c r="BB239" i="5"/>
  <c r="BA222" i="5"/>
  <c r="BB222" i="5"/>
  <c r="BA200" i="5"/>
  <c r="BB200" i="5"/>
  <c r="BB186" i="5"/>
  <c r="BA186" i="5"/>
  <c r="BB144" i="5"/>
  <c r="BA144" i="5"/>
  <c r="BA153" i="5"/>
  <c r="BB153" i="5"/>
  <c r="BA149" i="5"/>
  <c r="BB149" i="5"/>
  <c r="BA100" i="5"/>
  <c r="BB100" i="5"/>
  <c r="BA78" i="5"/>
  <c r="BB78" i="5"/>
  <c r="BA79" i="5"/>
  <c r="BB79" i="5"/>
  <c r="BA55" i="5"/>
  <c r="BB55" i="5"/>
  <c r="BA44" i="5"/>
  <c r="BB44" i="5"/>
  <c r="BB434" i="5"/>
  <c r="BA434" i="5"/>
  <c r="BB377" i="5"/>
  <c r="BA377" i="5"/>
  <c r="BA296" i="5"/>
  <c r="BB296" i="5"/>
  <c r="BB304" i="5"/>
  <c r="BA304" i="5"/>
  <c r="BA245" i="5"/>
  <c r="BB245" i="5"/>
  <c r="BB287" i="5"/>
  <c r="BA287" i="5"/>
  <c r="BB331" i="5"/>
  <c r="BA331" i="5"/>
  <c r="BA262" i="5"/>
  <c r="BB262" i="5"/>
  <c r="BB220" i="5"/>
  <c r="BA220" i="5"/>
  <c r="BB237" i="5"/>
  <c r="BA237" i="5"/>
  <c r="BB219" i="5"/>
  <c r="BA219" i="5"/>
  <c r="BB196" i="5"/>
  <c r="BA196" i="5"/>
  <c r="BB185" i="5"/>
  <c r="BA185" i="5"/>
  <c r="BB140" i="5"/>
  <c r="BA140" i="5"/>
  <c r="BA145" i="5"/>
  <c r="BB145" i="5"/>
  <c r="BA146" i="5"/>
  <c r="BB146" i="5"/>
  <c r="BA98" i="5"/>
  <c r="BB98" i="5"/>
  <c r="BB82" i="5"/>
  <c r="BA82" i="5"/>
  <c r="BB75" i="5"/>
  <c r="BA75" i="5"/>
  <c r="BB53" i="5"/>
  <c r="BA53" i="5"/>
  <c r="BB41" i="5"/>
  <c r="BA41" i="5"/>
  <c r="BB8" i="5"/>
  <c r="BA8" i="5"/>
  <c r="BA371" i="5"/>
  <c r="BB371" i="5"/>
  <c r="BA281" i="5"/>
  <c r="BB281" i="5"/>
  <c r="BB299" i="5"/>
  <c r="BA299" i="5"/>
  <c r="BA221" i="5"/>
  <c r="BB221" i="5"/>
  <c r="BB283" i="5"/>
  <c r="BA283" i="5"/>
  <c r="BA330" i="5"/>
  <c r="BB330" i="5"/>
  <c r="BA256" i="5"/>
  <c r="BB256" i="5"/>
  <c r="BB218" i="5"/>
  <c r="BA218" i="5"/>
  <c r="BB234" i="5"/>
  <c r="BA234" i="5"/>
  <c r="BA217" i="5"/>
  <c r="BB217" i="5"/>
  <c r="BA191" i="5"/>
  <c r="BB191" i="5"/>
  <c r="BB180" i="5"/>
  <c r="BA180" i="5"/>
  <c r="BA133" i="5"/>
  <c r="BB133" i="5"/>
  <c r="BA143" i="5"/>
  <c r="BB143" i="5"/>
  <c r="BA138" i="5"/>
  <c r="BB138" i="5"/>
  <c r="BA96" i="5"/>
  <c r="BB96" i="5"/>
  <c r="BA72" i="5"/>
  <c r="BB72" i="5"/>
  <c r="BA71" i="5"/>
  <c r="BB71" i="5"/>
  <c r="BA51" i="5"/>
  <c r="BB51" i="5"/>
  <c r="BA38" i="5"/>
  <c r="BB38" i="5"/>
  <c r="AW13" i="5"/>
  <c r="BC13" i="5"/>
  <c r="AZ13" i="5"/>
  <c r="BB413" i="5"/>
  <c r="BA413" i="5"/>
  <c r="BB357" i="5"/>
  <c r="BA357" i="5"/>
  <c r="BA347" i="5"/>
  <c r="BB347" i="5"/>
  <c r="BB282" i="5"/>
  <c r="BA282" i="5"/>
  <c r="BA322" i="5"/>
  <c r="BB322" i="5"/>
  <c r="BA263" i="5"/>
  <c r="BB263" i="5"/>
  <c r="BB310" i="5"/>
  <c r="BA310" i="5"/>
  <c r="BA233" i="5"/>
  <c r="BB233" i="5"/>
  <c r="BA198" i="5"/>
  <c r="BB198" i="5"/>
  <c r="BB197" i="5"/>
  <c r="BA197" i="5"/>
  <c r="BB195" i="5"/>
  <c r="BA195" i="5"/>
  <c r="BB170" i="5"/>
  <c r="BA170" i="5"/>
  <c r="BB164" i="5"/>
  <c r="BA164" i="5"/>
  <c r="BA114" i="5"/>
  <c r="BB114" i="5"/>
  <c r="BB130" i="5"/>
  <c r="BA130" i="5"/>
  <c r="BA120" i="5"/>
  <c r="BB120" i="5"/>
  <c r="BA84" i="5"/>
  <c r="BB84" i="5"/>
  <c r="BA83" i="5"/>
  <c r="BB83" i="5"/>
  <c r="BA54" i="5"/>
  <c r="BB54" i="5"/>
  <c r="BA45" i="5"/>
  <c r="BB45" i="5"/>
  <c r="BA48" i="5"/>
  <c r="BB48" i="5"/>
  <c r="BB513" i="5"/>
  <c r="BA513" i="5"/>
  <c r="BB474" i="5"/>
  <c r="BA474" i="5"/>
  <c r="BB536" i="5"/>
  <c r="BA536" i="5"/>
  <c r="BA266" i="5"/>
  <c r="BB266" i="5"/>
  <c r="BA462" i="5"/>
  <c r="BB462" i="5"/>
  <c r="BB422" i="5"/>
  <c r="BA422" i="5"/>
  <c r="BB467" i="5"/>
  <c r="BA467" i="5"/>
  <c r="BB507" i="5"/>
  <c r="BA507" i="5"/>
  <c r="BB552" i="5"/>
  <c r="BA552" i="5"/>
  <c r="BB519" i="5"/>
  <c r="BA519" i="5"/>
  <c r="BB300" i="5"/>
  <c r="BA300" i="5"/>
  <c r="BB556" i="5"/>
  <c r="BA556" i="5"/>
  <c r="BA508" i="5"/>
  <c r="BB508" i="5"/>
  <c r="BA401" i="5"/>
  <c r="BB401" i="5"/>
  <c r="BA390" i="5"/>
  <c r="BB390" i="5"/>
  <c r="BB309" i="5"/>
  <c r="BA309" i="5"/>
  <c r="BA181" i="5"/>
  <c r="BB181" i="5"/>
  <c r="BA179" i="5"/>
  <c r="BB179" i="5"/>
  <c r="BA106" i="5"/>
  <c r="BB106" i="5"/>
  <c r="BB28" i="5"/>
  <c r="BA28" i="5"/>
  <c r="BA319" i="5"/>
  <c r="BB319" i="5"/>
  <c r="BB248" i="5"/>
  <c r="BA248" i="5"/>
  <c r="BA235" i="5"/>
  <c r="BB235" i="5"/>
  <c r="BB80" i="5"/>
  <c r="BA80" i="5"/>
  <c r="BB93" i="5"/>
  <c r="BA93" i="5"/>
  <c r="BB23" i="5"/>
  <c r="BA23" i="5"/>
  <c r="BA258" i="5"/>
  <c r="BB258" i="5"/>
  <c r="BB227" i="5"/>
  <c r="BA227" i="5"/>
  <c r="BB207" i="5"/>
  <c r="BA207" i="5"/>
  <c r="BB246" i="5"/>
  <c r="BA246" i="5"/>
  <c r="BB261" i="5"/>
  <c r="BA261" i="5"/>
  <c r="BA491" i="5"/>
  <c r="BB491" i="5"/>
  <c r="BB424" i="5"/>
  <c r="BA424" i="5"/>
  <c r="BB559" i="5"/>
  <c r="BA559" i="5"/>
  <c r="BB503" i="5"/>
  <c r="BA503" i="5"/>
  <c r="BA397" i="5"/>
  <c r="BB397" i="5"/>
  <c r="BA546" i="5"/>
  <c r="BB546" i="5"/>
  <c r="BA375" i="5"/>
  <c r="BB375" i="5"/>
  <c r="BA430" i="5"/>
  <c r="BB430" i="5"/>
  <c r="BA19" i="5"/>
  <c r="BB19" i="5"/>
  <c r="BA526" i="5"/>
  <c r="BB526" i="5"/>
  <c r="BA373" i="5"/>
  <c r="BB373" i="5"/>
  <c r="BB388" i="5"/>
  <c r="BA388" i="5"/>
  <c r="BB525" i="5"/>
  <c r="BA525" i="5"/>
  <c r="BA541" i="5"/>
  <c r="BB541" i="5"/>
  <c r="BB459" i="5"/>
  <c r="BA459" i="5"/>
  <c r="BB534" i="5"/>
  <c r="BA534" i="5"/>
  <c r="BB448" i="5"/>
  <c r="BA448" i="5"/>
  <c r="BB351" i="5"/>
  <c r="BA351" i="5"/>
  <c r="BB489" i="5"/>
  <c r="BA489" i="5"/>
  <c r="BB436" i="5"/>
  <c r="BA436" i="5"/>
  <c r="BB492" i="5"/>
  <c r="BA492" i="5"/>
  <c r="BB429" i="5"/>
  <c r="BA429" i="5"/>
  <c r="BB382" i="5"/>
  <c r="BA382" i="5"/>
  <c r="BA398" i="5"/>
  <c r="BB398" i="5"/>
  <c r="BA439" i="5"/>
  <c r="BB439" i="5"/>
  <c r="BA515" i="5"/>
  <c r="BB515" i="5"/>
  <c r="BB539" i="5"/>
  <c r="BA539" i="5"/>
  <c r="BA452" i="5"/>
  <c r="BB452" i="5"/>
  <c r="BA533" i="5"/>
  <c r="BB533" i="5"/>
  <c r="BA445" i="5"/>
  <c r="BB445" i="5"/>
  <c r="BA339" i="5"/>
  <c r="BB339" i="5"/>
  <c r="BA488" i="5"/>
  <c r="BB488" i="5"/>
  <c r="BA431" i="5"/>
  <c r="BB431" i="5"/>
  <c r="BA484" i="5"/>
  <c r="BB484" i="5"/>
  <c r="BB428" i="5"/>
  <c r="BA428" i="5"/>
  <c r="BB381" i="5"/>
  <c r="BA381" i="5"/>
  <c r="BA395" i="5"/>
  <c r="BB395" i="5"/>
  <c r="BA432" i="5"/>
  <c r="BB432" i="5"/>
  <c r="BA504" i="5"/>
  <c r="BB504" i="5"/>
  <c r="BA535" i="5"/>
  <c r="BB535" i="5"/>
  <c r="BA423" i="5"/>
  <c r="BB423" i="5"/>
  <c r="BA527" i="5"/>
  <c r="BB527" i="5"/>
  <c r="BA442" i="5"/>
  <c r="BB442" i="5"/>
  <c r="BA335" i="5"/>
  <c r="BB335" i="5"/>
  <c r="BA487" i="5"/>
  <c r="BB487" i="5"/>
  <c r="BB418" i="5"/>
  <c r="BA418" i="5"/>
  <c r="BA482" i="5"/>
  <c r="BB482" i="5"/>
  <c r="BA385" i="5"/>
  <c r="BB385" i="5"/>
  <c r="BA376" i="5"/>
  <c r="BB376" i="5"/>
  <c r="BA394" i="5"/>
  <c r="BB394" i="5"/>
  <c r="BA426" i="5"/>
  <c r="BB426" i="5"/>
  <c r="BA365" i="5"/>
  <c r="BB365" i="5"/>
  <c r="BA212" i="5"/>
  <c r="BB212" i="5"/>
  <c r="BB292" i="5"/>
  <c r="BA292" i="5"/>
  <c r="BB190" i="5"/>
  <c r="BA190" i="5"/>
  <c r="BA275" i="5"/>
  <c r="BB275" i="5"/>
  <c r="BA326" i="5"/>
  <c r="BB326" i="5"/>
  <c r="BB247" i="5"/>
  <c r="BA247" i="5"/>
  <c r="BB209" i="5"/>
  <c r="BA209" i="5"/>
  <c r="BB215" i="5"/>
  <c r="BA215" i="5"/>
  <c r="BB210" i="5"/>
  <c r="BA210" i="5"/>
  <c r="BA184" i="5"/>
  <c r="BB184" i="5"/>
  <c r="BA174" i="5"/>
  <c r="BB174" i="5"/>
  <c r="BB129" i="5"/>
  <c r="BA129" i="5"/>
  <c r="BB136" i="5"/>
  <c r="BA136" i="5"/>
  <c r="BA128" i="5"/>
  <c r="BB128" i="5"/>
  <c r="BA92" i="5"/>
  <c r="BB92" i="5"/>
  <c r="BA67" i="5"/>
  <c r="BB67" i="5"/>
  <c r="BB62" i="5"/>
  <c r="BA62" i="5"/>
  <c r="BA69" i="5"/>
  <c r="BB69" i="5"/>
  <c r="BA30" i="5"/>
  <c r="BB30" i="5"/>
  <c r="BB419" i="5"/>
  <c r="BA419" i="5"/>
  <c r="BB363" i="5"/>
  <c r="BA363" i="5"/>
  <c r="BB355" i="5"/>
  <c r="BA355" i="5"/>
  <c r="BA289" i="5"/>
  <c r="BB289" i="5"/>
  <c r="BB332" i="5"/>
  <c r="BA332" i="5"/>
  <c r="BA268" i="5"/>
  <c r="BB268" i="5"/>
  <c r="BA321" i="5"/>
  <c r="BB321" i="5"/>
  <c r="BB243" i="5"/>
  <c r="BA243" i="5"/>
  <c r="BB206" i="5"/>
  <c r="BA206" i="5"/>
  <c r="BB202" i="5"/>
  <c r="BA202" i="5"/>
  <c r="BB204" i="5"/>
  <c r="BA204" i="5"/>
  <c r="BA182" i="5"/>
  <c r="BB182" i="5"/>
  <c r="BB168" i="5"/>
  <c r="BA168" i="5"/>
  <c r="BB123" i="5"/>
  <c r="BA123" i="5"/>
  <c r="BB134" i="5"/>
  <c r="BA134" i="5"/>
  <c r="BA126" i="5"/>
  <c r="BB126" i="5"/>
  <c r="BB90" i="5"/>
  <c r="BA90" i="5"/>
  <c r="BA91" i="5"/>
  <c r="BB91" i="5"/>
  <c r="BB57" i="5"/>
  <c r="BA57" i="5"/>
  <c r="BB63" i="5"/>
  <c r="BA63" i="5"/>
  <c r="BB29" i="5"/>
  <c r="BA29" i="5"/>
  <c r="BB416" i="5"/>
  <c r="BA416" i="5"/>
  <c r="BB359" i="5"/>
  <c r="BA359" i="5"/>
  <c r="BA353" i="5"/>
  <c r="BB353" i="5"/>
  <c r="BA286" i="5"/>
  <c r="BB286" i="5"/>
  <c r="BA324" i="5"/>
  <c r="BB324" i="5"/>
  <c r="BA265" i="5"/>
  <c r="BB265" i="5"/>
  <c r="BA317" i="5"/>
  <c r="BB317" i="5"/>
  <c r="BB236" i="5"/>
  <c r="BA236" i="5"/>
  <c r="BA201" i="5"/>
  <c r="BB201" i="5"/>
  <c r="BB199" i="5"/>
  <c r="BA199" i="5"/>
  <c r="BB203" i="5"/>
  <c r="BA203" i="5"/>
  <c r="BB171" i="5"/>
  <c r="BA171" i="5"/>
  <c r="BB166" i="5"/>
  <c r="BA166" i="5"/>
  <c r="BA121" i="5"/>
  <c r="BB121" i="5"/>
  <c r="BB132" i="5"/>
  <c r="BA132" i="5"/>
  <c r="BB125" i="5"/>
  <c r="BA125" i="5"/>
  <c r="BA89" i="5"/>
  <c r="BB89" i="5"/>
  <c r="BA88" i="5"/>
  <c r="BB88" i="5"/>
  <c r="BB56" i="5"/>
  <c r="BA56" i="5"/>
  <c r="BA52" i="5"/>
  <c r="BB52" i="5"/>
  <c r="BB20" i="5"/>
  <c r="BA20" i="5"/>
  <c r="BB341" i="5"/>
  <c r="BA341" i="5"/>
  <c r="BA392" i="5"/>
  <c r="BB392" i="5"/>
  <c r="BB345" i="5"/>
  <c r="BA345" i="5"/>
  <c r="BB328" i="5"/>
  <c r="BA328" i="5"/>
  <c r="BA270" i="5"/>
  <c r="BB270" i="5"/>
  <c r="BB312" i="5"/>
  <c r="BA312" i="5"/>
  <c r="BB251" i="5"/>
  <c r="BA251" i="5"/>
  <c r="BB294" i="5"/>
  <c r="BA294" i="5"/>
  <c r="BA241" i="5"/>
  <c r="BB241" i="5"/>
  <c r="BA187" i="5"/>
  <c r="BB187" i="5"/>
  <c r="BA240" i="5"/>
  <c r="BB240" i="5"/>
  <c r="BB148" i="5"/>
  <c r="BA148" i="5"/>
  <c r="BA183" i="5"/>
  <c r="BB183" i="5"/>
  <c r="BA155" i="5"/>
  <c r="BB155" i="5"/>
  <c r="BA102" i="5"/>
  <c r="BB102" i="5"/>
  <c r="BA115" i="5"/>
  <c r="BB115" i="5"/>
  <c r="BA111" i="5"/>
  <c r="BB111" i="5"/>
  <c r="BA99" i="5"/>
  <c r="BB99" i="5"/>
  <c r="BA58" i="5"/>
  <c r="BB58" i="5"/>
  <c r="BB36" i="5"/>
  <c r="BA36" i="5"/>
  <c r="BB32" i="5"/>
  <c r="BA32" i="5"/>
  <c r="BA26" i="5"/>
  <c r="BB26" i="5"/>
  <c r="BA323" i="5"/>
  <c r="BB323" i="5"/>
  <c r="BA472" i="5"/>
  <c r="BB472" i="5"/>
  <c r="BA348" i="5"/>
  <c r="BB348" i="5"/>
  <c r="BA400" i="5"/>
  <c r="BB400" i="5"/>
  <c r="BB352" i="5"/>
  <c r="BA352" i="5"/>
  <c r="BB457" i="5"/>
  <c r="BA457" i="5"/>
  <c r="BB490" i="5"/>
  <c r="BA490" i="5"/>
  <c r="BB455" i="5"/>
  <c r="BA455" i="5"/>
  <c r="BB405" i="5"/>
  <c r="BA405" i="5"/>
  <c r="BB358" i="5"/>
  <c r="BA358" i="5"/>
  <c r="BA369" i="5"/>
  <c r="BB369" i="5"/>
  <c r="BA485" i="5"/>
  <c r="BB485" i="5"/>
  <c r="BA509" i="5"/>
  <c r="BB509" i="5"/>
  <c r="BA465" i="5"/>
  <c r="BB465" i="5"/>
  <c r="BB354" i="5"/>
  <c r="BA354" i="5"/>
  <c r="BA383" i="5"/>
  <c r="BB383" i="5"/>
  <c r="BA483" i="5"/>
  <c r="BB483" i="5"/>
  <c r="BA451" i="5"/>
  <c r="BB451" i="5"/>
  <c r="BA461" i="5"/>
  <c r="BB461" i="5"/>
  <c r="BB349" i="5"/>
  <c r="BA349" i="5"/>
  <c r="BA325" i="5"/>
  <c r="BB325" i="5"/>
  <c r="BB249" i="5"/>
  <c r="BA249" i="5"/>
  <c r="BB290" i="5"/>
  <c r="BA290" i="5"/>
  <c r="BB238" i="5"/>
  <c r="BA238" i="5"/>
  <c r="BB154" i="5"/>
  <c r="BA154" i="5"/>
  <c r="BA87" i="5"/>
  <c r="BB87" i="5"/>
  <c r="BA77" i="5"/>
  <c r="BB77" i="5"/>
  <c r="BB25" i="5"/>
  <c r="BA25" i="5"/>
  <c r="BB337" i="5"/>
  <c r="BA337" i="5"/>
  <c r="BA306" i="5"/>
  <c r="BB306" i="5"/>
  <c r="BB229" i="5"/>
  <c r="BA229" i="5"/>
  <c r="BB124" i="5"/>
  <c r="BA124" i="5"/>
  <c r="BA178" i="5"/>
  <c r="BB178" i="5"/>
  <c r="BB161" i="5"/>
  <c r="BA161" i="5"/>
  <c r="BB76" i="5"/>
  <c r="BA76" i="5"/>
  <c r="BB24" i="5"/>
  <c r="BA24" i="5"/>
  <c r="BB327" i="5"/>
  <c r="BA327" i="5"/>
  <c r="BA301" i="5"/>
  <c r="BB301" i="5"/>
  <c r="BB278" i="5"/>
  <c r="BA278" i="5"/>
  <c r="BB228" i="5"/>
  <c r="BA228" i="5"/>
  <c r="BB150" i="5"/>
  <c r="BA150" i="5"/>
  <c r="BB158" i="5"/>
  <c r="BA158" i="5"/>
  <c r="BB85" i="5"/>
  <c r="BA85" i="5"/>
  <c r="BA213" i="5"/>
  <c r="BB213" i="5"/>
  <c r="BA468" i="5"/>
  <c r="BB468" i="5"/>
  <c r="BB463" i="5"/>
  <c r="BA463" i="5"/>
  <c r="BA537" i="5"/>
  <c r="BB537" i="5"/>
  <c r="BB470" i="5"/>
  <c r="BA470" i="5"/>
  <c r="BB544" i="5"/>
  <c r="BA544" i="5"/>
  <c r="BB450" i="5"/>
  <c r="BA450" i="5"/>
  <c r="BA259" i="5"/>
  <c r="BB259" i="5"/>
  <c r="BA524" i="5"/>
  <c r="BB524" i="5"/>
  <c r="BB493" i="5"/>
  <c r="BA493" i="5"/>
  <c r="BA386" i="5"/>
  <c r="BB386" i="5"/>
  <c r="BB498" i="5"/>
  <c r="BA498" i="5"/>
  <c r="BB437" i="5"/>
  <c r="BA437" i="5"/>
  <c r="BA480" i="5"/>
  <c r="BB480" i="5"/>
  <c r="BB553" i="5"/>
  <c r="BA553" i="5"/>
  <c r="BA486" i="5"/>
  <c r="BB486" i="5"/>
  <c r="BB528" i="5"/>
  <c r="BA528" i="5"/>
  <c r="BB291" i="5"/>
  <c r="BA291" i="5"/>
  <c r="BA517" i="5"/>
  <c r="BB517" i="5"/>
  <c r="BA435" i="5"/>
  <c r="BB435" i="5"/>
  <c r="BA521" i="5"/>
  <c r="BB521" i="5"/>
  <c r="BB473" i="5"/>
  <c r="BA473" i="5"/>
  <c r="BA367" i="5"/>
  <c r="BB367" i="5"/>
  <c r="BA479" i="5"/>
  <c r="BB479" i="5"/>
  <c r="BB338" i="5"/>
  <c r="BA338" i="5"/>
  <c r="BA368" i="5"/>
  <c r="BB368" i="5"/>
  <c r="BA378" i="5"/>
  <c r="BB378" i="5"/>
  <c r="BB545" i="5"/>
  <c r="BA545" i="5"/>
  <c r="BB478" i="5"/>
  <c r="BA478" i="5"/>
  <c r="BA522" i="5"/>
  <c r="BB522" i="5"/>
  <c r="BA285" i="5"/>
  <c r="BB285" i="5"/>
  <c r="BB501" i="5"/>
  <c r="BA501" i="5"/>
  <c r="BB433" i="5"/>
  <c r="BA433" i="5"/>
  <c r="BB520" i="5"/>
  <c r="BA520" i="5"/>
  <c r="BB469" i="5"/>
  <c r="BA469" i="5"/>
  <c r="BA361" i="5"/>
  <c r="BB361" i="5"/>
  <c r="BB477" i="5"/>
  <c r="BA477" i="5"/>
  <c r="BB410" i="5"/>
  <c r="BA410" i="5"/>
  <c r="BB362" i="5"/>
  <c r="BA362" i="5"/>
  <c r="BA374" i="5"/>
  <c r="BB374" i="5"/>
  <c r="BB543" i="5"/>
  <c r="BA543" i="5"/>
  <c r="BB475" i="5"/>
  <c r="BA475" i="5"/>
  <c r="BA516" i="5"/>
  <c r="BB516" i="5"/>
  <c r="BB279" i="5"/>
  <c r="BA279" i="5"/>
  <c r="BB496" i="5"/>
  <c r="BA496" i="5"/>
  <c r="BA425" i="5"/>
  <c r="BB425" i="5"/>
  <c r="BB518" i="5"/>
  <c r="BA518" i="5"/>
  <c r="BA466" i="5"/>
  <c r="BB466" i="5"/>
  <c r="BB288" i="5"/>
  <c r="BA288" i="5"/>
  <c r="BA476" i="5"/>
  <c r="BB476" i="5"/>
  <c r="BA409" i="5"/>
  <c r="BB409" i="5"/>
  <c r="BB343" i="5"/>
  <c r="BA343" i="5"/>
  <c r="BA366" i="5"/>
  <c r="BB366" i="5"/>
  <c r="BA412" i="5"/>
  <c r="BB412" i="5"/>
  <c r="BA356" i="5"/>
  <c r="BB356" i="5"/>
  <c r="BA340" i="5"/>
  <c r="BB340" i="5"/>
  <c r="BA277" i="5"/>
  <c r="BB277" i="5"/>
  <c r="BB320" i="5"/>
  <c r="BA320" i="5"/>
  <c r="BB257" i="5"/>
  <c r="BA257" i="5"/>
  <c r="BB305" i="5"/>
  <c r="BA305" i="5"/>
  <c r="BA211" i="5"/>
  <c r="BB211" i="5"/>
  <c r="BA193" i="5"/>
  <c r="BB193" i="5"/>
  <c r="BA167" i="5"/>
  <c r="BB167" i="5"/>
  <c r="BA194" i="5"/>
  <c r="BB194" i="5"/>
  <c r="BA165" i="5"/>
  <c r="BB165" i="5"/>
  <c r="BA159" i="5"/>
  <c r="BB159" i="5"/>
  <c r="BA110" i="5"/>
  <c r="BB110" i="5"/>
  <c r="BA127" i="5"/>
  <c r="BB127" i="5"/>
  <c r="BA118" i="5"/>
  <c r="BB118" i="5"/>
  <c r="BA109" i="5"/>
  <c r="BB109" i="5"/>
  <c r="BA74" i="5"/>
  <c r="BB74" i="5"/>
  <c r="BA50" i="5"/>
  <c r="BB50" i="5"/>
  <c r="BA42" i="5"/>
  <c r="BB42" i="5"/>
  <c r="BA43" i="5"/>
  <c r="BB43" i="5"/>
  <c r="BA408" i="5"/>
  <c r="BB408" i="5"/>
  <c r="BA350" i="5"/>
  <c r="BB350" i="5"/>
  <c r="BB334" i="5"/>
  <c r="BA334" i="5"/>
  <c r="BB276" i="5"/>
  <c r="BA276" i="5"/>
  <c r="BA315" i="5"/>
  <c r="BB315" i="5"/>
  <c r="BB255" i="5"/>
  <c r="BA255" i="5"/>
  <c r="BA302" i="5"/>
  <c r="BB302" i="5"/>
  <c r="BA208" i="5"/>
  <c r="BB208" i="5"/>
  <c r="BA192" i="5"/>
  <c r="BB192" i="5"/>
  <c r="BA244" i="5"/>
  <c r="BB244" i="5"/>
  <c r="BA162" i="5"/>
  <c r="BB162" i="5"/>
  <c r="BB137" i="5"/>
  <c r="BA137" i="5"/>
  <c r="BA139" i="5"/>
  <c r="BB139" i="5"/>
  <c r="BA108" i="5"/>
  <c r="BB108" i="5"/>
  <c r="BB122" i="5"/>
  <c r="BA122" i="5"/>
  <c r="BB117" i="5"/>
  <c r="BA117" i="5"/>
  <c r="BB104" i="5"/>
  <c r="BA104" i="5"/>
  <c r="BB73" i="5"/>
  <c r="BA73" i="5"/>
  <c r="BB49" i="5"/>
  <c r="BA49" i="5"/>
  <c r="BB39" i="5"/>
  <c r="BA39" i="5"/>
  <c r="BA399" i="5"/>
  <c r="BB399" i="5"/>
  <c r="BA346" i="5"/>
  <c r="BB346" i="5"/>
  <c r="BA333" i="5"/>
  <c r="BB333" i="5"/>
  <c r="BB273" i="5"/>
  <c r="BA273" i="5"/>
  <c r="BB314" i="5"/>
  <c r="BA314" i="5"/>
  <c r="BA254" i="5"/>
  <c r="BB254" i="5"/>
  <c r="BB298" i="5"/>
  <c r="BA298" i="5"/>
  <c r="BB163" i="5"/>
  <c r="BA163" i="5"/>
  <c r="BA189" i="5"/>
  <c r="BB189" i="5"/>
  <c r="BA242" i="5"/>
  <c r="BB242" i="5"/>
  <c r="BB160" i="5"/>
  <c r="BA160" i="5"/>
  <c r="BB119" i="5"/>
  <c r="BA119" i="5"/>
  <c r="BA113" i="5"/>
  <c r="BB113" i="5"/>
  <c r="BB105" i="5"/>
  <c r="BA105" i="5"/>
  <c r="BA116" i="5"/>
  <c r="BB116" i="5"/>
  <c r="BA112" i="5"/>
  <c r="BB112" i="5"/>
  <c r="BB101" i="5"/>
  <c r="BA101" i="5"/>
  <c r="BB68" i="5"/>
  <c r="BA68" i="5"/>
  <c r="BA47" i="5"/>
  <c r="BB47" i="5"/>
  <c r="BA35" i="5"/>
  <c r="BB35" i="5"/>
  <c r="BA31" i="5"/>
  <c r="BB31" i="5"/>
  <c r="BA271" i="5"/>
  <c r="BB271" i="5"/>
  <c r="BA380" i="5"/>
  <c r="BB380" i="5"/>
  <c r="BA313" i="5"/>
  <c r="BB313" i="5"/>
  <c r="BB311" i="5"/>
  <c r="BA311" i="5"/>
  <c r="BB252" i="5"/>
  <c r="BA252" i="5"/>
  <c r="BB295" i="5"/>
  <c r="BA295" i="5"/>
  <c r="BA225" i="5"/>
  <c r="BB225" i="5"/>
  <c r="BA272" i="5"/>
  <c r="BB272" i="5"/>
  <c r="BB224" i="5"/>
  <c r="BA224" i="5"/>
  <c r="BA169" i="5"/>
  <c r="BB169" i="5"/>
  <c r="BA226" i="5"/>
  <c r="BB226" i="5"/>
  <c r="BB205" i="5"/>
  <c r="BA205" i="5"/>
  <c r="BA156" i="5"/>
  <c r="BB156" i="5"/>
  <c r="BB147" i="5"/>
  <c r="BA147" i="5"/>
  <c r="BB157" i="5"/>
  <c r="BA157" i="5"/>
  <c r="BA152" i="5"/>
  <c r="BB152" i="5"/>
  <c r="BB107" i="5"/>
  <c r="BA107" i="5"/>
  <c r="BB81" i="5"/>
  <c r="BA81" i="5"/>
  <c r="BB40" i="5"/>
  <c r="BA40" i="5"/>
  <c r="BB59" i="5"/>
  <c r="BA59" i="5"/>
  <c r="BB46" i="5"/>
  <c r="BA46" i="5"/>
  <c r="BD12" i="5"/>
  <c r="BE12" i="5"/>
  <c r="B50" i="2"/>
  <c r="B71" i="5" s="1"/>
  <c r="H22" i="1"/>
  <c r="I25" i="1"/>
  <c r="I24" i="1"/>
  <c r="K28" i="2"/>
  <c r="B250" i="2" l="1"/>
  <c r="AD12" i="5"/>
  <c r="AE12" i="5"/>
  <c r="BG37" i="5"/>
  <c r="BH37" i="5"/>
  <c r="BG78" i="5"/>
  <c r="BG222" i="5"/>
  <c r="BH55" i="5"/>
  <c r="BH195" i="5"/>
  <c r="BG98" i="5"/>
  <c r="BH114" i="5"/>
  <c r="BA12" i="5"/>
  <c r="BH237" i="5"/>
  <c r="BH127" i="5"/>
  <c r="BH198" i="5"/>
  <c r="BH133" i="5"/>
  <c r="BG100" i="5"/>
  <c r="BH53" i="5"/>
  <c r="BG287" i="5"/>
  <c r="BF12" i="5"/>
  <c r="BH12" i="5" s="1"/>
  <c r="AY12" i="5"/>
  <c r="BH7" i="5"/>
  <c r="BH48" i="5"/>
  <c r="BG59" i="5"/>
  <c r="BG35" i="5"/>
  <c r="BH82" i="5"/>
  <c r="BG86" i="5"/>
  <c r="BH462" i="5"/>
  <c r="BG214" i="5"/>
  <c r="BG264" i="5"/>
  <c r="BG560" i="5"/>
  <c r="BH22" i="5"/>
  <c r="BH144" i="5"/>
  <c r="BH219" i="5"/>
  <c r="BH45" i="5"/>
  <c r="BH316" i="5"/>
  <c r="BH83" i="5"/>
  <c r="BG269" i="5"/>
  <c r="BG180" i="5"/>
  <c r="BH38" i="5"/>
  <c r="BH51" i="5"/>
  <c r="BH537" i="5"/>
  <c r="BG130" i="5"/>
  <c r="BG164" i="5"/>
  <c r="BG315" i="5"/>
  <c r="BG305" i="5"/>
  <c r="BG262" i="5"/>
  <c r="BH299" i="5"/>
  <c r="BH27" i="5"/>
  <c r="BG64" i="5"/>
  <c r="BH44" i="5"/>
  <c r="BH283" i="5"/>
  <c r="BG112" i="5"/>
  <c r="BG223" i="5"/>
  <c r="BH41" i="5"/>
  <c r="BG191" i="5"/>
  <c r="BH296" i="5"/>
  <c r="BH8" i="5"/>
  <c r="BG352" i="5"/>
  <c r="BH230" i="5"/>
  <c r="BH156" i="5"/>
  <c r="BG156" i="5"/>
  <c r="BH208" i="5"/>
  <c r="BG208" i="5"/>
  <c r="BH103" i="5"/>
  <c r="BH246" i="5"/>
  <c r="BH533" i="5"/>
  <c r="BG263" i="5"/>
  <c r="BH68" i="5"/>
  <c r="BG68" i="5"/>
  <c r="BH476" i="5"/>
  <c r="BG476" i="5"/>
  <c r="BH81" i="5"/>
  <c r="BG81" i="5"/>
  <c r="BH31" i="5"/>
  <c r="BG31" i="5"/>
  <c r="BH290" i="5"/>
  <c r="BG290" i="5"/>
  <c r="BG295" i="5"/>
  <c r="BH295" i="5"/>
  <c r="BG346" i="5"/>
  <c r="BH346" i="5"/>
  <c r="BH235" i="5"/>
  <c r="BG235" i="5"/>
  <c r="BG284" i="5"/>
  <c r="BH284" i="5"/>
  <c r="BH559" i="5"/>
  <c r="BG559" i="5"/>
  <c r="BG183" i="5"/>
  <c r="BH183" i="5"/>
  <c r="BG159" i="5"/>
  <c r="BH159" i="5"/>
  <c r="BH119" i="5"/>
  <c r="BG158" i="5"/>
  <c r="BH453" i="5"/>
  <c r="BG66" i="5"/>
  <c r="BG369" i="5"/>
  <c r="BH306" i="5"/>
  <c r="BH236" i="5"/>
  <c r="BG470" i="5"/>
  <c r="BG387" i="5"/>
  <c r="BH387" i="5"/>
  <c r="BG487" i="5"/>
  <c r="BH487" i="5"/>
  <c r="BG209" i="5"/>
  <c r="BH209" i="5"/>
  <c r="BH298" i="5"/>
  <c r="BG298" i="5"/>
  <c r="BG437" i="5"/>
  <c r="BH437" i="5"/>
  <c r="BG213" i="5"/>
  <c r="BH213" i="5"/>
  <c r="BG206" i="5"/>
  <c r="BH206" i="5"/>
  <c r="BH211" i="5"/>
  <c r="BG211" i="5"/>
  <c r="BG152" i="5"/>
  <c r="BH152" i="5"/>
  <c r="BH225" i="5"/>
  <c r="BG225" i="5"/>
  <c r="BG101" i="5"/>
  <c r="BH101" i="5"/>
  <c r="BH273" i="5"/>
  <c r="BG273" i="5"/>
  <c r="BG360" i="5"/>
  <c r="BH360" i="5"/>
  <c r="BH92" i="5"/>
  <c r="BG92" i="5"/>
  <c r="BH52" i="5"/>
  <c r="BG52" i="5"/>
  <c r="BH189" i="5"/>
  <c r="BG189" i="5"/>
  <c r="BH30" i="5"/>
  <c r="BG30" i="5"/>
  <c r="BG24" i="5"/>
  <c r="BH24" i="5"/>
  <c r="BG39" i="5"/>
  <c r="BH39" i="5"/>
  <c r="BH268" i="5"/>
  <c r="BG268" i="5"/>
  <c r="BG60" i="5"/>
  <c r="BH60" i="5"/>
  <c r="BH241" i="5"/>
  <c r="BG241" i="5"/>
  <c r="BG169" i="5"/>
  <c r="BH169" i="5"/>
  <c r="BH131" i="5"/>
  <c r="BG131" i="5"/>
  <c r="BG238" i="5"/>
  <c r="BH238" i="5"/>
  <c r="BG116" i="5"/>
  <c r="BH116" i="5"/>
  <c r="BH227" i="5"/>
  <c r="BG227" i="5"/>
  <c r="BH313" i="5"/>
  <c r="BG313" i="5"/>
  <c r="BG172" i="5"/>
  <c r="BH172" i="5"/>
  <c r="BH324" i="5"/>
  <c r="BG324" i="5"/>
  <c r="BG148" i="5"/>
  <c r="BH148" i="5"/>
  <c r="BG178" i="5"/>
  <c r="BH178" i="5"/>
  <c r="BH29" i="5"/>
  <c r="BG29" i="5"/>
  <c r="BG109" i="5"/>
  <c r="BH109" i="5"/>
  <c r="BH240" i="5"/>
  <c r="BG240" i="5"/>
  <c r="BG26" i="5"/>
  <c r="BH26" i="5"/>
  <c r="BH351" i="5"/>
  <c r="BG351" i="5"/>
  <c r="BG132" i="5"/>
  <c r="BH132" i="5"/>
  <c r="BH150" i="5"/>
  <c r="BG150" i="5"/>
  <c r="BG424" i="5"/>
  <c r="BH424" i="5"/>
  <c r="BG147" i="5"/>
  <c r="BH147" i="5"/>
  <c r="BH117" i="5"/>
  <c r="BG117" i="5"/>
  <c r="BG139" i="5"/>
  <c r="BH139" i="5"/>
  <c r="BH401" i="5"/>
  <c r="BG401" i="5"/>
  <c r="BH190" i="5"/>
  <c r="BG190" i="5"/>
  <c r="BG363" i="5"/>
  <c r="BH363" i="5"/>
  <c r="BH255" i="5"/>
  <c r="BG255" i="5"/>
  <c r="BH332" i="5"/>
  <c r="BG332" i="5"/>
  <c r="BG19" i="5"/>
  <c r="BH19" i="5"/>
  <c r="BG276" i="5"/>
  <c r="BH276" i="5"/>
  <c r="BG546" i="5"/>
  <c r="BH546" i="5"/>
  <c r="BH73" i="5"/>
  <c r="BG73" i="5"/>
  <c r="BG251" i="5"/>
  <c r="BH251" i="5"/>
  <c r="BG450" i="5"/>
  <c r="BH450" i="5"/>
  <c r="BG553" i="5"/>
  <c r="BH553" i="5"/>
  <c r="BH309" i="5"/>
  <c r="BG309" i="5"/>
  <c r="BH545" i="5"/>
  <c r="BG545" i="5"/>
  <c r="BH465" i="5"/>
  <c r="BG465" i="5"/>
  <c r="BG288" i="5"/>
  <c r="BH288" i="5"/>
  <c r="BH232" i="5"/>
  <c r="BG232" i="5"/>
  <c r="BG137" i="5"/>
  <c r="BH137" i="5"/>
  <c r="BH76" i="5"/>
  <c r="BG76" i="5"/>
  <c r="BG274" i="5"/>
  <c r="BH274" i="5"/>
  <c r="BG105" i="5"/>
  <c r="BH105" i="5"/>
  <c r="BH326" i="5"/>
  <c r="BG326" i="5"/>
  <c r="BH121" i="5"/>
  <c r="BG121" i="5"/>
  <c r="BH201" i="5"/>
  <c r="BG201" i="5"/>
  <c r="BG111" i="5"/>
  <c r="BH111" i="5"/>
  <c r="BH110" i="5"/>
  <c r="BG110" i="5"/>
  <c r="BH184" i="5"/>
  <c r="BG184" i="5"/>
  <c r="BH157" i="5"/>
  <c r="BG157" i="5"/>
  <c r="BH202" i="5"/>
  <c r="BG202" i="5"/>
  <c r="BH199" i="5"/>
  <c r="BG199" i="5"/>
  <c r="BG154" i="5"/>
  <c r="BH154" i="5"/>
  <c r="BH243" i="5"/>
  <c r="BG243" i="5"/>
  <c r="BH317" i="5"/>
  <c r="BG317" i="5"/>
  <c r="BG126" i="5"/>
  <c r="BH126" i="5"/>
  <c r="BG412" i="5"/>
  <c r="BH412" i="5"/>
  <c r="BG289" i="5"/>
  <c r="BH289" i="5"/>
  <c r="BG136" i="5"/>
  <c r="BH136" i="5"/>
  <c r="BH411" i="5"/>
  <c r="BG411" i="5"/>
  <c r="BG160" i="5"/>
  <c r="BH160" i="5"/>
  <c r="BG279" i="5"/>
  <c r="BH279" i="5"/>
  <c r="BH194" i="5"/>
  <c r="BG194" i="5"/>
  <c r="BG212" i="5"/>
  <c r="BH212" i="5"/>
  <c r="BH91" i="5"/>
  <c r="BG91" i="5"/>
  <c r="BG414" i="5"/>
  <c r="BH414" i="5"/>
  <c r="BG501" i="5"/>
  <c r="BH501" i="5"/>
  <c r="BG477" i="5"/>
  <c r="BH477" i="5"/>
  <c r="BG432" i="5"/>
  <c r="BH432" i="5"/>
  <c r="BG108" i="5"/>
  <c r="BH108" i="5"/>
  <c r="BG89" i="5"/>
  <c r="BH89" i="5"/>
  <c r="BH314" i="5"/>
  <c r="BG314" i="5"/>
  <c r="BH74" i="5"/>
  <c r="BG74" i="5"/>
  <c r="BH323" i="5"/>
  <c r="BG323" i="5"/>
  <c r="BG32" i="5"/>
  <c r="BH32" i="5"/>
  <c r="BH134" i="5"/>
  <c r="BG134" i="5"/>
  <c r="BH261" i="5"/>
  <c r="BG261" i="5"/>
  <c r="BG532" i="5"/>
  <c r="BH532" i="5"/>
  <c r="BH478" i="5"/>
  <c r="BG478" i="5"/>
  <c r="BG392" i="5"/>
  <c r="BH392" i="5"/>
  <c r="BG242" i="5"/>
  <c r="BH242" i="5"/>
  <c r="BG226" i="5"/>
  <c r="BH226" i="5"/>
  <c r="BG285" i="5"/>
  <c r="BH285" i="5"/>
  <c r="BG491" i="5"/>
  <c r="BH491" i="5"/>
  <c r="BG249" i="5"/>
  <c r="BH249" i="5"/>
  <c r="BG69" i="5"/>
  <c r="BH69" i="5"/>
  <c r="BH174" i="5"/>
  <c r="BG174" i="5"/>
  <c r="BH171" i="5"/>
  <c r="BG171" i="5"/>
  <c r="BH125" i="5"/>
  <c r="BG125" i="5"/>
  <c r="BG118" i="5"/>
  <c r="BH118" i="5"/>
  <c r="BG88" i="5"/>
  <c r="BH88" i="5"/>
  <c r="BG40" i="5"/>
  <c r="BH40" i="5"/>
  <c r="BG247" i="5"/>
  <c r="BH247" i="5"/>
  <c r="BG56" i="5"/>
  <c r="BH56" i="5"/>
  <c r="BG47" i="5"/>
  <c r="BH47" i="5"/>
  <c r="BG85" i="5"/>
  <c r="BH85" i="5"/>
  <c r="BH302" i="5"/>
  <c r="BG302" i="5"/>
  <c r="BH265" i="5"/>
  <c r="BG265" i="5"/>
  <c r="BG161" i="5"/>
  <c r="BH161" i="5"/>
  <c r="BG185" i="5"/>
  <c r="BH185" i="5"/>
  <c r="BG221" i="5"/>
  <c r="BH163" i="5"/>
  <c r="BH234" i="5"/>
  <c r="BG115" i="5"/>
  <c r="BH122" i="5"/>
  <c r="BG166" i="5"/>
  <c r="BG84" i="5"/>
  <c r="BG23" i="5"/>
  <c r="BH536" i="5"/>
  <c r="BG543" i="5"/>
  <c r="BH469" i="5"/>
  <c r="BH481" i="5"/>
  <c r="BG329" i="5"/>
  <c r="BG138" i="5"/>
  <c r="BH138" i="5"/>
  <c r="BG140" i="5"/>
  <c r="BH140" i="5"/>
  <c r="BH245" i="5"/>
  <c r="BG145" i="5"/>
  <c r="BH145" i="5"/>
  <c r="BH149" i="5"/>
  <c r="BG149" i="5"/>
  <c r="BH75" i="5"/>
  <c r="BG97" i="5"/>
  <c r="BH43" i="5"/>
  <c r="BG71" i="5"/>
  <c r="BH338" i="5"/>
  <c r="BH168" i="5"/>
  <c r="BG210" i="5"/>
  <c r="BG72" i="5"/>
  <c r="BH72" i="5"/>
  <c r="BH393" i="5"/>
  <c r="BH113" i="5"/>
  <c r="BH65" i="5"/>
  <c r="BH356" i="5"/>
  <c r="BH521" i="5"/>
  <c r="BG555" i="5"/>
  <c r="BG80" i="5"/>
  <c r="BH80" i="5"/>
  <c r="BH197" i="5"/>
  <c r="BG197" i="5"/>
  <c r="BG495" i="5"/>
  <c r="BG175" i="5"/>
  <c r="BH141" i="5"/>
  <c r="BH278" i="5"/>
  <c r="BH34" i="5"/>
  <c r="BH337" i="5"/>
  <c r="BG549" i="5"/>
  <c r="BH70" i="5"/>
  <c r="BG21" i="5"/>
  <c r="BH379" i="5"/>
  <c r="BG379" i="5"/>
  <c r="BH61" i="5"/>
  <c r="BG344" i="5"/>
  <c r="BH286" i="5"/>
  <c r="BG286" i="5"/>
  <c r="BG300" i="5"/>
  <c r="BH90" i="5"/>
  <c r="BG90" i="5"/>
  <c r="BH440" i="5"/>
  <c r="BG440" i="5"/>
  <c r="BG231" i="5"/>
  <c r="BG188" i="5"/>
  <c r="BH303" i="5"/>
  <c r="BG303" i="5"/>
  <c r="BH244" i="5"/>
  <c r="BG244" i="5"/>
  <c r="BH193" i="5"/>
  <c r="BG193" i="5"/>
  <c r="BG229" i="5"/>
  <c r="BH229" i="5"/>
  <c r="BG405" i="5"/>
  <c r="BH405" i="5"/>
  <c r="BG275" i="5"/>
  <c r="BH275" i="5"/>
  <c r="BH294" i="5"/>
  <c r="BG294" i="5"/>
  <c r="BH182" i="5"/>
  <c r="BG182" i="5"/>
  <c r="BH365" i="5"/>
  <c r="BG365" i="5"/>
  <c r="BH445" i="5"/>
  <c r="BG445" i="5"/>
  <c r="BH515" i="5"/>
  <c r="BG515" i="5"/>
  <c r="BH448" i="5"/>
  <c r="BG448" i="5"/>
  <c r="BG106" i="5"/>
  <c r="BH106" i="5"/>
  <c r="BG282" i="5"/>
  <c r="BH282" i="5"/>
  <c r="BG239" i="5"/>
  <c r="BH239" i="5"/>
  <c r="BH505" i="5"/>
  <c r="BG505" i="5"/>
  <c r="BG396" i="5"/>
  <c r="BH396" i="5"/>
  <c r="BH407" i="5"/>
  <c r="BG407" i="5"/>
  <c r="BG547" i="5"/>
  <c r="BH547" i="5"/>
  <c r="BH94" i="5"/>
  <c r="BG46" i="5"/>
  <c r="BH46" i="5"/>
  <c r="BH162" i="5"/>
  <c r="BG162" i="5"/>
  <c r="BG167" i="5"/>
  <c r="BH167" i="5"/>
  <c r="BH277" i="5"/>
  <c r="BG277" i="5"/>
  <c r="BG340" i="5"/>
  <c r="BH340" i="5"/>
  <c r="BG409" i="5"/>
  <c r="BH409" i="5"/>
  <c r="BG496" i="5"/>
  <c r="BH496" i="5"/>
  <c r="BH475" i="5"/>
  <c r="BG475" i="5"/>
  <c r="BG362" i="5"/>
  <c r="BH362" i="5"/>
  <c r="BH410" i="5"/>
  <c r="BG410" i="5"/>
  <c r="BH361" i="5"/>
  <c r="BG361" i="5"/>
  <c r="BH433" i="5"/>
  <c r="BG433" i="5"/>
  <c r="BG473" i="5"/>
  <c r="BH473" i="5"/>
  <c r="BG517" i="5"/>
  <c r="BH517" i="5"/>
  <c r="BG493" i="5"/>
  <c r="BH493" i="5"/>
  <c r="BG339" i="5"/>
  <c r="BH339" i="5"/>
  <c r="BG280" i="5"/>
  <c r="BH280" i="5"/>
  <c r="BG124" i="5"/>
  <c r="BH124" i="5"/>
  <c r="BH461" i="5"/>
  <c r="BG461" i="5"/>
  <c r="BH358" i="5"/>
  <c r="BG358" i="5"/>
  <c r="BG457" i="5"/>
  <c r="BH457" i="5"/>
  <c r="BG348" i="5"/>
  <c r="BH348" i="5"/>
  <c r="BG256" i="5"/>
  <c r="BH256" i="5"/>
  <c r="BH503" i="5"/>
  <c r="BG503" i="5"/>
  <c r="BH58" i="5"/>
  <c r="BG58" i="5"/>
  <c r="BG187" i="5"/>
  <c r="BH187" i="5"/>
  <c r="BG20" i="5"/>
  <c r="BH20" i="5"/>
  <c r="BG416" i="5"/>
  <c r="BH416" i="5"/>
  <c r="BG57" i="5"/>
  <c r="BH57" i="5"/>
  <c r="BG355" i="5"/>
  <c r="BH355" i="5"/>
  <c r="BH62" i="5"/>
  <c r="BG62" i="5"/>
  <c r="BG128" i="5"/>
  <c r="BH128" i="5"/>
  <c r="BH376" i="5"/>
  <c r="BG376" i="5"/>
  <c r="BG527" i="5"/>
  <c r="BH527" i="5"/>
  <c r="BG431" i="5"/>
  <c r="BH431" i="5"/>
  <c r="BG439" i="5"/>
  <c r="BH439" i="5"/>
  <c r="BH492" i="5"/>
  <c r="BG492" i="5"/>
  <c r="BH541" i="5"/>
  <c r="BG541" i="5"/>
  <c r="BG447" i="5"/>
  <c r="BH447" i="5"/>
  <c r="BH28" i="5"/>
  <c r="BG28" i="5"/>
  <c r="BH181" i="5"/>
  <c r="BG181" i="5"/>
  <c r="BG95" i="5"/>
  <c r="BH95" i="5"/>
  <c r="BG120" i="5"/>
  <c r="BH120" i="5"/>
  <c r="BH413" i="5"/>
  <c r="BG413" i="5"/>
  <c r="BH96" i="5"/>
  <c r="BG96" i="5"/>
  <c r="BH331" i="5"/>
  <c r="BG331" i="5"/>
  <c r="BH377" i="5"/>
  <c r="BG377" i="5"/>
  <c r="BG186" i="5"/>
  <c r="BH186" i="5"/>
  <c r="BH293" i="5"/>
  <c r="BG293" i="5"/>
  <c r="BH406" i="5"/>
  <c r="BG406" i="5"/>
  <c r="BG415" i="5"/>
  <c r="BH415" i="5"/>
  <c r="BH402" i="5"/>
  <c r="BG402" i="5"/>
  <c r="BG420" i="5"/>
  <c r="BH420" i="5"/>
  <c r="BH449" i="5"/>
  <c r="BG449" i="5"/>
  <c r="BG464" i="5"/>
  <c r="BH464" i="5"/>
  <c r="BG531" i="5"/>
  <c r="BH531" i="5"/>
  <c r="BH529" i="5"/>
  <c r="BG529" i="5"/>
  <c r="BG176" i="5"/>
  <c r="BH176" i="5"/>
  <c r="BH253" i="5"/>
  <c r="BG253" i="5"/>
  <c r="BH370" i="5"/>
  <c r="BG370" i="5"/>
  <c r="BH389" i="5"/>
  <c r="BG389" i="5"/>
  <c r="BH417" i="5"/>
  <c r="BG417" i="5"/>
  <c r="BH514" i="5"/>
  <c r="BG514" i="5"/>
  <c r="BG530" i="5"/>
  <c r="BH530" i="5"/>
  <c r="BH364" i="5"/>
  <c r="BG364" i="5"/>
  <c r="BH107" i="5"/>
  <c r="BG107" i="5"/>
  <c r="BG271" i="5"/>
  <c r="BH271" i="5"/>
  <c r="BH104" i="5"/>
  <c r="BG104" i="5"/>
  <c r="BH165" i="5"/>
  <c r="BG165" i="5"/>
  <c r="BH291" i="5"/>
  <c r="BG291" i="5"/>
  <c r="BG544" i="5"/>
  <c r="BH544" i="5"/>
  <c r="BH451" i="5"/>
  <c r="BG451" i="5"/>
  <c r="BH472" i="5"/>
  <c r="BG472" i="5"/>
  <c r="BG155" i="5"/>
  <c r="BH155" i="5"/>
  <c r="BH67" i="5"/>
  <c r="BG67" i="5"/>
  <c r="BH423" i="5"/>
  <c r="BG423" i="5"/>
  <c r="BG539" i="5"/>
  <c r="BH539" i="5"/>
  <c r="BG436" i="5"/>
  <c r="BH436" i="5"/>
  <c r="BH397" i="5"/>
  <c r="BG397" i="5"/>
  <c r="BH467" i="5"/>
  <c r="BG467" i="5"/>
  <c r="BH347" i="5"/>
  <c r="BG347" i="5"/>
  <c r="BH330" i="5"/>
  <c r="BG330" i="5"/>
  <c r="BG304" i="5"/>
  <c r="BH304" i="5"/>
  <c r="BH153" i="5"/>
  <c r="BG153" i="5"/>
  <c r="BG500" i="5"/>
  <c r="BH500" i="5"/>
  <c r="BH391" i="5"/>
  <c r="BG391" i="5"/>
  <c r="BG554" i="5"/>
  <c r="BH554" i="5"/>
  <c r="BG502" i="5"/>
  <c r="BH502" i="5"/>
  <c r="BG33" i="5"/>
  <c r="BH33" i="5"/>
  <c r="BH403" i="5"/>
  <c r="BG403" i="5"/>
  <c r="BG318" i="5"/>
  <c r="BH318" i="5"/>
  <c r="BH372" i="5"/>
  <c r="BG372" i="5"/>
  <c r="BG322" i="5"/>
  <c r="BH322" i="5"/>
  <c r="BH129" i="5"/>
  <c r="BG129" i="5"/>
  <c r="BH312" i="5"/>
  <c r="BG312" i="5"/>
  <c r="BG480" i="5"/>
  <c r="BH480" i="5"/>
  <c r="BG205" i="5"/>
  <c r="BH205" i="5"/>
  <c r="BH224" i="5"/>
  <c r="BG224" i="5"/>
  <c r="BG333" i="5"/>
  <c r="BH333" i="5"/>
  <c r="BG408" i="5"/>
  <c r="BH408" i="5"/>
  <c r="BG320" i="5"/>
  <c r="BH320" i="5"/>
  <c r="BH343" i="5"/>
  <c r="BG343" i="5"/>
  <c r="BG425" i="5"/>
  <c r="BH425" i="5"/>
  <c r="BG516" i="5"/>
  <c r="BH516" i="5"/>
  <c r="BG520" i="5"/>
  <c r="BH520" i="5"/>
  <c r="BG368" i="5"/>
  <c r="BH368" i="5"/>
  <c r="BG367" i="5"/>
  <c r="BH367" i="5"/>
  <c r="BH435" i="5"/>
  <c r="BG435" i="5"/>
  <c r="BG486" i="5"/>
  <c r="BH486" i="5"/>
  <c r="BH386" i="5"/>
  <c r="BG386" i="5"/>
  <c r="BH468" i="5"/>
  <c r="BG468" i="5"/>
  <c r="BG135" i="5"/>
  <c r="BH135" i="5"/>
  <c r="BG525" i="5"/>
  <c r="BH525" i="5"/>
  <c r="BH228" i="5"/>
  <c r="BG228" i="5"/>
  <c r="BH327" i="5"/>
  <c r="BG327" i="5"/>
  <c r="BG77" i="5"/>
  <c r="BH77" i="5"/>
  <c r="BH349" i="5"/>
  <c r="BG349" i="5"/>
  <c r="BG383" i="5"/>
  <c r="BH383" i="5"/>
  <c r="BG354" i="5"/>
  <c r="BH354" i="5"/>
  <c r="BH490" i="5"/>
  <c r="BG490" i="5"/>
  <c r="BH400" i="5"/>
  <c r="BG400" i="5"/>
  <c r="BG373" i="5"/>
  <c r="BH373" i="5"/>
  <c r="BH99" i="5"/>
  <c r="BG99" i="5"/>
  <c r="BH328" i="5"/>
  <c r="BG328" i="5"/>
  <c r="BH345" i="5"/>
  <c r="BG345" i="5"/>
  <c r="BG203" i="5"/>
  <c r="BH203" i="5"/>
  <c r="BG359" i="5"/>
  <c r="BH359" i="5"/>
  <c r="BG63" i="5"/>
  <c r="BH63" i="5"/>
  <c r="BH419" i="5"/>
  <c r="BG419" i="5"/>
  <c r="BG215" i="5"/>
  <c r="BH215" i="5"/>
  <c r="BG394" i="5"/>
  <c r="BH394" i="5"/>
  <c r="BG418" i="5"/>
  <c r="BH418" i="5"/>
  <c r="BG442" i="5"/>
  <c r="BH442" i="5"/>
  <c r="BH504" i="5"/>
  <c r="BG504" i="5"/>
  <c r="BG381" i="5"/>
  <c r="BH381" i="5"/>
  <c r="BG428" i="5"/>
  <c r="BH428" i="5"/>
  <c r="BH484" i="5"/>
  <c r="BG484" i="5"/>
  <c r="BG452" i="5"/>
  <c r="BH452" i="5"/>
  <c r="BH429" i="5"/>
  <c r="BG429" i="5"/>
  <c r="BH459" i="5"/>
  <c r="BG459" i="5"/>
  <c r="BH388" i="5"/>
  <c r="BG388" i="5"/>
  <c r="BG266" i="5"/>
  <c r="BH266" i="5"/>
  <c r="BG207" i="5"/>
  <c r="BH207" i="5"/>
  <c r="BH319" i="5"/>
  <c r="BG319" i="5"/>
  <c r="BH390" i="5"/>
  <c r="BG390" i="5"/>
  <c r="BG556" i="5"/>
  <c r="BH556" i="5"/>
  <c r="BG218" i="5"/>
  <c r="BH218" i="5"/>
  <c r="BA13" i="5"/>
  <c r="BB13" i="5"/>
  <c r="BH143" i="5"/>
  <c r="BG143" i="5"/>
  <c r="BH146" i="5"/>
  <c r="BG146" i="5"/>
  <c r="BH307" i="5"/>
  <c r="BG307" i="5"/>
  <c r="BG494" i="5"/>
  <c r="BH494" i="5"/>
  <c r="BG538" i="5"/>
  <c r="BH538" i="5"/>
  <c r="BH444" i="5"/>
  <c r="BG444" i="5"/>
  <c r="BH499" i="5"/>
  <c r="BG499" i="5"/>
  <c r="BH342" i="5"/>
  <c r="BG342" i="5"/>
  <c r="BG506" i="5"/>
  <c r="BH506" i="5"/>
  <c r="BG548" i="5"/>
  <c r="BH548" i="5"/>
  <c r="BH456" i="5"/>
  <c r="BG456" i="5"/>
  <c r="BG471" i="5"/>
  <c r="BH471" i="5"/>
  <c r="BG421" i="5"/>
  <c r="BH421" i="5"/>
  <c r="BH297" i="5"/>
  <c r="BG297" i="5"/>
  <c r="BG260" i="5"/>
  <c r="BH260" i="5"/>
  <c r="BH142" i="5"/>
  <c r="BG142" i="5"/>
  <c r="BG512" i="5"/>
  <c r="BH512" i="5"/>
  <c r="BG558" i="5"/>
  <c r="BH558" i="5"/>
  <c r="BH511" i="5"/>
  <c r="BG511" i="5"/>
  <c r="BG200" i="5"/>
  <c r="BH200" i="5"/>
  <c r="BG334" i="5"/>
  <c r="BH334" i="5"/>
  <c r="BG466" i="5"/>
  <c r="BH466" i="5"/>
  <c r="BG522" i="5"/>
  <c r="BH522" i="5"/>
  <c r="BH524" i="5"/>
  <c r="BG524" i="5"/>
  <c r="BG509" i="5"/>
  <c r="BH509" i="5"/>
  <c r="BH485" i="5"/>
  <c r="BG485" i="5"/>
  <c r="BH220" i="5"/>
  <c r="BG220" i="5"/>
  <c r="BG341" i="5"/>
  <c r="BH341" i="5"/>
  <c r="BG321" i="5"/>
  <c r="BH321" i="5"/>
  <c r="BG385" i="5"/>
  <c r="BH385" i="5"/>
  <c r="BG488" i="5"/>
  <c r="BH488" i="5"/>
  <c r="BG398" i="5"/>
  <c r="BH398" i="5"/>
  <c r="BG430" i="5"/>
  <c r="BH430" i="5"/>
  <c r="BG93" i="5"/>
  <c r="BH93" i="5"/>
  <c r="BG519" i="5"/>
  <c r="BH519" i="5"/>
  <c r="BH474" i="5"/>
  <c r="BG474" i="5"/>
  <c r="BH310" i="5"/>
  <c r="BG310" i="5"/>
  <c r="BH357" i="5"/>
  <c r="BG357" i="5"/>
  <c r="AX13" i="5"/>
  <c r="AY13" i="5"/>
  <c r="BF13" i="5"/>
  <c r="BH434" i="5"/>
  <c r="BG434" i="5"/>
  <c r="BH250" i="5"/>
  <c r="BG250" i="5"/>
  <c r="BG336" i="5"/>
  <c r="BH336" i="5"/>
  <c r="BG460" i="5"/>
  <c r="BH460" i="5"/>
  <c r="BH557" i="5"/>
  <c r="BG557" i="5"/>
  <c r="BG542" i="5"/>
  <c r="BH542" i="5"/>
  <c r="BG384" i="5"/>
  <c r="BH384" i="5"/>
  <c r="BH267" i="5"/>
  <c r="BG267" i="5"/>
  <c r="BG179" i="5"/>
  <c r="BH179" i="5"/>
  <c r="BH272" i="5"/>
  <c r="BG272" i="5"/>
  <c r="BH123" i="5"/>
  <c r="BG123" i="5"/>
  <c r="BG87" i="5"/>
  <c r="BH87" i="5"/>
  <c r="BG50" i="5"/>
  <c r="BH50" i="5"/>
  <c r="BH252" i="5"/>
  <c r="BG252" i="5"/>
  <c r="BH311" i="5"/>
  <c r="BG311" i="5"/>
  <c r="BH380" i="5"/>
  <c r="BG380" i="5"/>
  <c r="BG254" i="5"/>
  <c r="BH254" i="5"/>
  <c r="BH399" i="5"/>
  <c r="BG399" i="5"/>
  <c r="BG49" i="5"/>
  <c r="BH49" i="5"/>
  <c r="BH192" i="5"/>
  <c r="BG192" i="5"/>
  <c r="BH350" i="5"/>
  <c r="BG350" i="5"/>
  <c r="BH42" i="5"/>
  <c r="BG42" i="5"/>
  <c r="BH257" i="5"/>
  <c r="BG257" i="5"/>
  <c r="BH366" i="5"/>
  <c r="BG366" i="5"/>
  <c r="BG518" i="5"/>
  <c r="BH518" i="5"/>
  <c r="BH374" i="5"/>
  <c r="BG374" i="5"/>
  <c r="BH378" i="5"/>
  <c r="BG378" i="5"/>
  <c r="BG479" i="5"/>
  <c r="BH479" i="5"/>
  <c r="BH528" i="5"/>
  <c r="BG528" i="5"/>
  <c r="BH498" i="5"/>
  <c r="BG498" i="5"/>
  <c r="BG259" i="5"/>
  <c r="BH259" i="5"/>
  <c r="BH463" i="5"/>
  <c r="BG463" i="5"/>
  <c r="BH510" i="5"/>
  <c r="BG510" i="5"/>
  <c r="BG301" i="5"/>
  <c r="BH301" i="5"/>
  <c r="BH25" i="5"/>
  <c r="BG25" i="5"/>
  <c r="BG325" i="5"/>
  <c r="BH325" i="5"/>
  <c r="BH483" i="5"/>
  <c r="BG483" i="5"/>
  <c r="BH455" i="5"/>
  <c r="BG455" i="5"/>
  <c r="BG196" i="5"/>
  <c r="BH196" i="5"/>
  <c r="BH177" i="5"/>
  <c r="BG177" i="5"/>
  <c r="BH36" i="5"/>
  <c r="BG36" i="5"/>
  <c r="BH102" i="5"/>
  <c r="BG102" i="5"/>
  <c r="BG270" i="5"/>
  <c r="BH270" i="5"/>
  <c r="BG353" i="5"/>
  <c r="BH353" i="5"/>
  <c r="BG204" i="5"/>
  <c r="BH204" i="5"/>
  <c r="BH292" i="5"/>
  <c r="BG292" i="5"/>
  <c r="BG426" i="5"/>
  <c r="BH426" i="5"/>
  <c r="BH482" i="5"/>
  <c r="BG482" i="5"/>
  <c r="BG335" i="5"/>
  <c r="BH335" i="5"/>
  <c r="BG535" i="5"/>
  <c r="BH535" i="5"/>
  <c r="BG395" i="5"/>
  <c r="BH395" i="5"/>
  <c r="BH382" i="5"/>
  <c r="BG382" i="5"/>
  <c r="BH489" i="5"/>
  <c r="BG489" i="5"/>
  <c r="BG534" i="5"/>
  <c r="BH534" i="5"/>
  <c r="BG526" i="5"/>
  <c r="BH526" i="5"/>
  <c r="BG375" i="5"/>
  <c r="BH375" i="5"/>
  <c r="BH173" i="5"/>
  <c r="BG173" i="5"/>
  <c r="BG258" i="5"/>
  <c r="BH258" i="5"/>
  <c r="BH248" i="5"/>
  <c r="BG248" i="5"/>
  <c r="BH508" i="5"/>
  <c r="BG508" i="5"/>
  <c r="BG552" i="5"/>
  <c r="BH552" i="5"/>
  <c r="BG507" i="5"/>
  <c r="BH507" i="5"/>
  <c r="BG422" i="5"/>
  <c r="BH422" i="5"/>
  <c r="BG513" i="5"/>
  <c r="BH513" i="5"/>
  <c r="BH281" i="5"/>
  <c r="BG281" i="5"/>
  <c r="BH54" i="5"/>
  <c r="BG54" i="5"/>
  <c r="BG170" i="5"/>
  <c r="BH170" i="5"/>
  <c r="BG233" i="5"/>
  <c r="BH233" i="5"/>
  <c r="BD13" i="5"/>
  <c r="BE13" i="5"/>
  <c r="BG217" i="5"/>
  <c r="BH217" i="5"/>
  <c r="BG371" i="5"/>
  <c r="BH371" i="5"/>
  <c r="BG79" i="5"/>
  <c r="BH79" i="5"/>
  <c r="BH308" i="5"/>
  <c r="BG308" i="5"/>
  <c r="BH441" i="5"/>
  <c r="BG441" i="5"/>
  <c r="BH458" i="5"/>
  <c r="BG458" i="5"/>
  <c r="BG551" i="5"/>
  <c r="BH551" i="5"/>
  <c r="BG443" i="5"/>
  <c r="BH443" i="5"/>
  <c r="BH540" i="5"/>
  <c r="BG540" i="5"/>
  <c r="BG446" i="5"/>
  <c r="BH446" i="5"/>
  <c r="BG550" i="5"/>
  <c r="BH550" i="5"/>
  <c r="BG404" i="5"/>
  <c r="BH404" i="5"/>
  <c r="BG523" i="5"/>
  <c r="BH523" i="5"/>
  <c r="BH427" i="5"/>
  <c r="BG427" i="5"/>
  <c r="BG216" i="5"/>
  <c r="BH216" i="5"/>
  <c r="BH151" i="5"/>
  <c r="BG151" i="5"/>
  <c r="BG497" i="5"/>
  <c r="BH497" i="5"/>
  <c r="BG454" i="5"/>
  <c r="BH454" i="5"/>
  <c r="BG438" i="5"/>
  <c r="BH438" i="5"/>
  <c r="B49" i="5"/>
  <c r="B52" i="5" s="1"/>
  <c r="B35" i="5"/>
  <c r="B210" i="2"/>
  <c r="B229" i="2"/>
  <c r="B232" i="2" s="1"/>
  <c r="Z7" i="5" s="1"/>
  <c r="B96" i="2"/>
  <c r="O15" i="4"/>
  <c r="B23" i="5"/>
  <c r="B209" i="2"/>
  <c r="B34" i="5"/>
  <c r="J50" i="5"/>
  <c r="Z19" i="5" l="1"/>
  <c r="Z37" i="5"/>
  <c r="BG12" i="5"/>
  <c r="BG13" i="5"/>
  <c r="BH13" i="5"/>
  <c r="Z350" i="5"/>
  <c r="Z375" i="5"/>
  <c r="Z252" i="5"/>
  <c r="Z353" i="5"/>
  <c r="Z459" i="5"/>
  <c r="Z80" i="5"/>
  <c r="Z308" i="5"/>
  <c r="Z452" i="5"/>
  <c r="Z528" i="5"/>
  <c r="Z246" i="5"/>
  <c r="Z455" i="5"/>
  <c r="Z343" i="5"/>
  <c r="Z211" i="5"/>
  <c r="Z337" i="5"/>
  <c r="Z203" i="5"/>
  <c r="Z406" i="5"/>
  <c r="Z379" i="5"/>
  <c r="Z378" i="5"/>
  <c r="Z511" i="5"/>
  <c r="Z512" i="5"/>
  <c r="Z417" i="5"/>
  <c r="Z34" i="5"/>
  <c r="Z148" i="5"/>
  <c r="Z539" i="5"/>
  <c r="Z554" i="5"/>
  <c r="Z107" i="5"/>
  <c r="Z525" i="5"/>
  <c r="Z170" i="5"/>
  <c r="Z233" i="5"/>
  <c r="Z288" i="5"/>
  <c r="Z199" i="5"/>
  <c r="Z260" i="5"/>
  <c r="Z509" i="5"/>
  <c r="Z510" i="5"/>
  <c r="Z206" i="5"/>
  <c r="Z244" i="5"/>
  <c r="Z376" i="5"/>
  <c r="Z348" i="5"/>
  <c r="Z393" i="5"/>
  <c r="Z31" i="5"/>
  <c r="Z78" i="5"/>
  <c r="Z98" i="5"/>
  <c r="Z467" i="5"/>
  <c r="Z501" i="5"/>
  <c r="Z181" i="5"/>
  <c r="Z435" i="5"/>
  <c r="Z33" i="5"/>
  <c r="Z175" i="5"/>
  <c r="Z259" i="5"/>
  <c r="Z182" i="5"/>
  <c r="Z122" i="5"/>
  <c r="Z405" i="5"/>
  <c r="Z57" i="5"/>
  <c r="Z202" i="5"/>
  <c r="Z87" i="5"/>
  <c r="Z91" i="5"/>
  <c r="Z62" i="5"/>
  <c r="Z543" i="5"/>
  <c r="Z39" i="5"/>
  <c r="Z529" i="5"/>
  <c r="Z490" i="5"/>
  <c r="Z542" i="5"/>
  <c r="Z139" i="5"/>
  <c r="Z401" i="5"/>
  <c r="Z432" i="5"/>
  <c r="Z196" i="5"/>
  <c r="Z515" i="5"/>
  <c r="Z45" i="5"/>
  <c r="Z530" i="5"/>
  <c r="Z431" i="5"/>
  <c r="Z347" i="5"/>
  <c r="Z149" i="5"/>
  <c r="Z278" i="5"/>
  <c r="Z352" i="5"/>
  <c r="Z446" i="5"/>
  <c r="Z264" i="5"/>
  <c r="Z342" i="5"/>
  <c r="Z119" i="5"/>
  <c r="Z229" i="5"/>
  <c r="Z410" i="5"/>
  <c r="Z223" i="5"/>
  <c r="Z13" i="5"/>
  <c r="Z324" i="5"/>
  <c r="Z274" i="5"/>
  <c r="Z88" i="5"/>
  <c r="Z409" i="5"/>
  <c r="Z269" i="5"/>
  <c r="Z460" i="5"/>
  <c r="Z363" i="5"/>
  <c r="Z63" i="5"/>
  <c r="Z422" i="5"/>
  <c r="Z82" i="5"/>
  <c r="Z346" i="5"/>
  <c r="Z414" i="5"/>
  <c r="Z50" i="5"/>
  <c r="Z239" i="5"/>
  <c r="Z486" i="5"/>
  <c r="Z449" i="5"/>
  <c r="Z141" i="5"/>
  <c r="Z257" i="5"/>
  <c r="Z192" i="5"/>
  <c r="Z65" i="5"/>
  <c r="Z332" i="5"/>
  <c r="Z20" i="5"/>
  <c r="Z447" i="5"/>
  <c r="Z222" i="5"/>
  <c r="Z368" i="5"/>
  <c r="Z71" i="5"/>
  <c r="Z549" i="5"/>
  <c r="Z450" i="5"/>
  <c r="Z262" i="5"/>
  <c r="Z232" i="5"/>
  <c r="Z335" i="5"/>
  <c r="Z408" i="5"/>
  <c r="Z152" i="5"/>
  <c r="Z197" i="5"/>
  <c r="Z402" i="5"/>
  <c r="Z169" i="5"/>
  <c r="Z412" i="5"/>
  <c r="Z492" i="5"/>
  <c r="Z299" i="5"/>
  <c r="Z84" i="5"/>
  <c r="Z306" i="5"/>
  <c r="Z331" i="5"/>
  <c r="Z205" i="5"/>
  <c r="Z320" i="5"/>
  <c r="Z275" i="5"/>
  <c r="Z51" i="5"/>
  <c r="Z488" i="5"/>
  <c r="Z317" i="5"/>
  <c r="Z399" i="5"/>
  <c r="Z377" i="5"/>
  <c r="Z241" i="5"/>
  <c r="Z483" i="5"/>
  <c r="Z482" i="5"/>
  <c r="Z436" i="5"/>
  <c r="Z100" i="5"/>
  <c r="Z159" i="5"/>
  <c r="Z386" i="5"/>
  <c r="Z191" i="5"/>
  <c r="Z81" i="5"/>
  <c r="Z8" i="5"/>
  <c r="Z313" i="5"/>
  <c r="Z500" i="5"/>
  <c r="Z312" i="5"/>
  <c r="Z106" i="5"/>
  <c r="Z533" i="5"/>
  <c r="Z68" i="5"/>
  <c r="Z361" i="5"/>
  <c r="Z234" i="5"/>
  <c r="Z296" i="5"/>
  <c r="Z461" i="5"/>
  <c r="Z129" i="5"/>
  <c r="Z24" i="5"/>
  <c r="Z198" i="5"/>
  <c r="Z514" i="5"/>
  <c r="Z218" i="5"/>
  <c r="Z137" i="5"/>
  <c r="Z493" i="5"/>
  <c r="Z283" i="5"/>
  <c r="Z138" i="5"/>
  <c r="Z190" i="5"/>
  <c r="Z280" i="5"/>
  <c r="Z135" i="5"/>
  <c r="Z327" i="5"/>
  <c r="Z184" i="5"/>
  <c r="Z85" i="5"/>
  <c r="Z44" i="5"/>
  <c r="Z322" i="5"/>
  <c r="Z503" i="5"/>
  <c r="Z349" i="5"/>
  <c r="Z89" i="5"/>
  <c r="Z439" i="5"/>
  <c r="Z165" i="5"/>
  <c r="Z64" i="5"/>
  <c r="Z76" i="5"/>
  <c r="Z131" i="5"/>
  <c r="Z522" i="5"/>
  <c r="Z498" i="5"/>
  <c r="Z245" i="5"/>
  <c r="Z163" i="5"/>
  <c r="Z124" i="5"/>
  <c r="Z110" i="5"/>
  <c r="Z95" i="5"/>
  <c r="Z356" i="5"/>
  <c r="Z516" i="5"/>
  <c r="Z25" i="5"/>
  <c r="Z183" i="5"/>
  <c r="Z43" i="5"/>
  <c r="Z161" i="5"/>
  <c r="Z171" i="5"/>
  <c r="Z430" i="5"/>
  <c r="Z484" i="5"/>
  <c r="Z146" i="5"/>
  <c r="Z59" i="5"/>
  <c r="Z237" i="5"/>
  <c r="Z433" i="5"/>
  <c r="Z26" i="5"/>
  <c r="Z415" i="5"/>
  <c r="Z319" i="5"/>
  <c r="Z200" i="5"/>
  <c r="Z336" i="5"/>
  <c r="Z265" i="5"/>
  <c r="Z96" i="5"/>
  <c r="Z365" i="5"/>
  <c r="Z507" i="5"/>
  <c r="Z407" i="5"/>
  <c r="Z448" i="5"/>
  <c r="Z429" i="5"/>
  <c r="Z116" i="5"/>
  <c r="Z315" i="5"/>
  <c r="Z546" i="5"/>
  <c r="Z362" i="5"/>
  <c r="Z187" i="5"/>
  <c r="Z143" i="5"/>
  <c r="Z555" i="5"/>
  <c r="Z473" i="5"/>
  <c r="Z242" i="5"/>
  <c r="Z55" i="5"/>
  <c r="Z35" i="5"/>
  <c r="Z354" i="5"/>
  <c r="Z230" i="5"/>
  <c r="Z506" i="5"/>
  <c r="Z72" i="5"/>
  <c r="Z177" i="5"/>
  <c r="Z77" i="5"/>
  <c r="Z236" i="5"/>
  <c r="Z69" i="5"/>
  <c r="Z487" i="5"/>
  <c r="Z207" i="5"/>
  <c r="Z38" i="5"/>
  <c r="Z193" i="5"/>
  <c r="Z300" i="5"/>
  <c r="Z465" i="5"/>
  <c r="Z445" i="5"/>
  <c r="Z338" i="5"/>
  <c r="Z134" i="5"/>
  <c r="Z395" i="5"/>
  <c r="Z311" i="5"/>
  <c r="Z240" i="5"/>
  <c r="Z537" i="5"/>
  <c r="Z302" i="5"/>
  <c r="Z180" i="5"/>
  <c r="Z79" i="5"/>
  <c r="Z367" i="5"/>
  <c r="Z208" i="5"/>
  <c r="Z373" i="5"/>
  <c r="Z66" i="5"/>
  <c r="Z112" i="5"/>
  <c r="Z22" i="5"/>
  <c r="Z513" i="5"/>
  <c r="Z144" i="5"/>
  <c r="Z505" i="5"/>
  <c r="Z442" i="5"/>
  <c r="Z387" i="5"/>
  <c r="Z470" i="5"/>
  <c r="Z456" i="5"/>
  <c r="Z279" i="5"/>
  <c r="Z351" i="5"/>
  <c r="Z221" i="5"/>
  <c r="Z285" i="5"/>
  <c r="Z127" i="5"/>
  <c r="Z428" i="5"/>
  <c r="Z215" i="5"/>
  <c r="Z400" i="5"/>
  <c r="Z270" i="5"/>
  <c r="Z518" i="5"/>
  <c r="Z114" i="5"/>
  <c r="Z28" i="5"/>
  <c r="Z287" i="5"/>
  <c r="Z426" i="5"/>
  <c r="Z47" i="5"/>
  <c r="Z325" i="5"/>
  <c r="Z195" i="5"/>
  <c r="Z440" i="5"/>
  <c r="Z130" i="5"/>
  <c r="Z256" i="5"/>
  <c r="Z266" i="5"/>
  <c r="Z204" i="5"/>
  <c r="Z90" i="5"/>
  <c r="Z310" i="5"/>
  <c r="Z118" i="5"/>
  <c r="Z475" i="5"/>
  <c r="Z552" i="5"/>
  <c r="Z380" i="5"/>
  <c r="Z272" i="5"/>
  <c r="Z27" i="5"/>
  <c r="Z186" i="5"/>
  <c r="Z46" i="5"/>
  <c r="Z61" i="5"/>
  <c r="Z471" i="5"/>
  <c r="Z115" i="5"/>
  <c r="Z75" i="5"/>
  <c r="Z369" i="5"/>
  <c r="Z464" i="5"/>
  <c r="Z499" i="5"/>
  <c r="Z247" i="5"/>
  <c r="Z103" i="5"/>
  <c r="Z494" i="5"/>
  <c r="Z23" i="5"/>
  <c r="Z254" i="5"/>
  <c r="Z126" i="5"/>
  <c r="Z480" i="5"/>
  <c r="Z527" i="5"/>
  <c r="Z458" i="5"/>
  <c r="Z168" i="5"/>
  <c r="Z166" i="5"/>
  <c r="Z502" i="5"/>
  <c r="Z521" i="5"/>
  <c r="Z421" i="5"/>
  <c r="Z282" i="5"/>
  <c r="Z496" i="5"/>
  <c r="Z30" i="5"/>
  <c r="Z251" i="5"/>
  <c r="Z179" i="5"/>
  <c r="Z12" i="5"/>
  <c r="Z228" i="5"/>
  <c r="Z290" i="5"/>
  <c r="Z318" i="5"/>
  <c r="Z485" i="5"/>
  <c r="Z476" i="5"/>
  <c r="Z147" i="5"/>
  <c r="Z226" i="5"/>
  <c r="Z142" i="5"/>
  <c r="Z474" i="5"/>
  <c r="Z457" i="5"/>
  <c r="Z216" i="5"/>
  <c r="Z212" i="5"/>
  <c r="Z227" i="5"/>
  <c r="Z276" i="5"/>
  <c r="Z273" i="5"/>
  <c r="Z321" i="5"/>
  <c r="Z123" i="5"/>
  <c r="Z330" i="5"/>
  <c r="Z172" i="5"/>
  <c r="Z156" i="5"/>
  <c r="Z391" i="5"/>
  <c r="Z94" i="5"/>
  <c r="Z366" i="5"/>
  <c r="Z36" i="5"/>
  <c r="Z292" i="5"/>
  <c r="Z263" i="5"/>
  <c r="Z418" i="5"/>
  <c r="Z547" i="5"/>
  <c r="Z189" i="5"/>
  <c r="Z178" i="5"/>
  <c r="Z536" i="5"/>
  <c r="Z48" i="5"/>
  <c r="Z472" i="5"/>
  <c r="Z504" i="5"/>
  <c r="Z128" i="5"/>
  <c r="Z534" i="5"/>
  <c r="Z86" i="5"/>
  <c r="Z524" i="5"/>
  <c r="Z411" i="5"/>
  <c r="Z413" i="5"/>
  <c r="Z56" i="5"/>
  <c r="Z443" i="5"/>
  <c r="Z531" i="5"/>
  <c r="Z301" i="5"/>
  <c r="Z155" i="5"/>
  <c r="Z104" i="5"/>
  <c r="Z145" i="5"/>
  <c r="Z466" i="5"/>
  <c r="Z167" i="5"/>
  <c r="Z481" i="5"/>
  <c r="Z194" i="5"/>
  <c r="Z517" i="5"/>
  <c r="Z550" i="5"/>
  <c r="Z120" i="5"/>
  <c r="Z111" i="5"/>
  <c r="Z508" i="5"/>
  <c r="Z478" i="5"/>
  <c r="Z303" i="5"/>
  <c r="Z495" i="5"/>
  <c r="Z258" i="5"/>
  <c r="Z437" i="5"/>
  <c r="Z355" i="5"/>
  <c r="Z54" i="5"/>
  <c r="Z339" i="5"/>
  <c r="Z220" i="5"/>
  <c r="Z372" i="5"/>
  <c r="Z390" i="5"/>
  <c r="Z73" i="5"/>
  <c r="Z519" i="5"/>
  <c r="Z374" i="5"/>
  <c r="Z389" i="5"/>
  <c r="Z213" i="5"/>
  <c r="Z117" i="5"/>
  <c r="Z497" i="5"/>
  <c r="Z469" i="5"/>
  <c r="Z326" i="5"/>
  <c r="Z340" i="5"/>
  <c r="Z314" i="5"/>
  <c r="Z333" i="5"/>
  <c r="Z140" i="5"/>
  <c r="Z160" i="5"/>
  <c r="Z97" i="5"/>
  <c r="Z462" i="5"/>
  <c r="Z214" i="5"/>
  <c r="Z551" i="5"/>
  <c r="Z558" i="5"/>
  <c r="Z60" i="5"/>
  <c r="Z523" i="5"/>
  <c r="Z489" i="5"/>
  <c r="Z305" i="5"/>
  <c r="Z491" i="5"/>
  <c r="Z384" i="5"/>
  <c r="Z250" i="5"/>
  <c r="Z291" i="5"/>
  <c r="Z416" i="5"/>
  <c r="Z231" i="5"/>
  <c r="Z158" i="5"/>
  <c r="Z559" i="5"/>
  <c r="Z271" i="5"/>
  <c r="Z370" i="5"/>
  <c r="Z392" i="5"/>
  <c r="Z209" i="5"/>
  <c r="Z438" i="5"/>
  <c r="Z74" i="5"/>
  <c r="Z286" i="5"/>
  <c r="Z267" i="5"/>
  <c r="Z382" i="5"/>
  <c r="Z298" i="5"/>
  <c r="Z268" i="5"/>
  <c r="Z133" i="5"/>
  <c r="Z255" i="5"/>
  <c r="Z540" i="5"/>
  <c r="Z42" i="5"/>
  <c r="Z544" i="5"/>
  <c r="Z92" i="5"/>
  <c r="Z538" i="5"/>
  <c r="Z284" i="5"/>
  <c r="Z553" i="5"/>
  <c r="Z297" i="5"/>
  <c r="Z381" i="5"/>
  <c r="Z70" i="5"/>
  <c r="Z217" i="5"/>
  <c r="Z403" i="5"/>
  <c r="Z328" i="5"/>
  <c r="Z294" i="5"/>
  <c r="Z309" i="5"/>
  <c r="Z53" i="5"/>
  <c r="Z235" i="5"/>
  <c r="Z423" i="5"/>
  <c r="Z125" i="5"/>
  <c r="Z93" i="5"/>
  <c r="Z261" i="5"/>
  <c r="Z541" i="5"/>
  <c r="Z40" i="5"/>
  <c r="Z434" i="5"/>
  <c r="Z151" i="5"/>
  <c r="Z396" i="5"/>
  <c r="Z238" i="5"/>
  <c r="Z424" i="5"/>
  <c r="Z477" i="5"/>
  <c r="Z32" i="5"/>
  <c r="Z548" i="5"/>
  <c r="Z52" i="5"/>
  <c r="Z83" i="5"/>
  <c r="Z113" i="5"/>
  <c r="Z468" i="5"/>
  <c r="Z535" i="5"/>
  <c r="Z295" i="5"/>
  <c r="Z307" i="5"/>
  <c r="Z121" i="5"/>
  <c r="Z526" i="5"/>
  <c r="Z532" i="5"/>
  <c r="Z108" i="5"/>
  <c r="Z316" i="5"/>
  <c r="Z277" i="5"/>
  <c r="Z29" i="5"/>
  <c r="Z173" i="5"/>
  <c r="Z364" i="5"/>
  <c r="Z334" i="5"/>
  <c r="Z58" i="5"/>
  <c r="Z176" i="5"/>
  <c r="Z358" i="5"/>
  <c r="Z359" i="5"/>
  <c r="Z360" i="5"/>
  <c r="Z394" i="5"/>
  <c r="Z109" i="5"/>
  <c r="Z132" i="5"/>
  <c r="Z174" i="5"/>
  <c r="Z224" i="5"/>
  <c r="Z463" i="5"/>
  <c r="Z154" i="5"/>
  <c r="Z545" i="5"/>
  <c r="Z479" i="5"/>
  <c r="Z397" i="5"/>
  <c r="Z404" i="5"/>
  <c r="Z425" i="5"/>
  <c r="Z153" i="5"/>
  <c r="Z560" i="5"/>
  <c r="Z329" i="5"/>
  <c r="Z105" i="5"/>
  <c r="Z383" i="5"/>
  <c r="Z253" i="5"/>
  <c r="Z21" i="5"/>
  <c r="Z398" i="5"/>
  <c r="Z201" i="5"/>
  <c r="Z102" i="5"/>
  <c r="Z427" i="5"/>
  <c r="Z185" i="5"/>
  <c r="Z49" i="5"/>
  <c r="Z188" i="5"/>
  <c r="Z341" i="5"/>
  <c r="Z293" i="5"/>
  <c r="Z210" i="5"/>
  <c r="Z225" i="5"/>
  <c r="Z219" i="5"/>
  <c r="Z101" i="5"/>
  <c r="Z157" i="5"/>
  <c r="Z289" i="5"/>
  <c r="Z249" i="5"/>
  <c r="Z150" i="5"/>
  <c r="Z136" i="5"/>
  <c r="Z557" i="5"/>
  <c r="Z419" i="5"/>
  <c r="Z164" i="5"/>
  <c r="Z99" i="5"/>
  <c r="Z162" i="5"/>
  <c r="Z453" i="5"/>
  <c r="Z371" i="5"/>
  <c r="Z323" i="5"/>
  <c r="Z520" i="5"/>
  <c r="Z248" i="5"/>
  <c r="Z344" i="5"/>
  <c r="Z385" i="5"/>
  <c r="Z345" i="5"/>
  <c r="Z281" i="5"/>
  <c r="Z67" i="5"/>
  <c r="Z444" i="5"/>
  <c r="Z388" i="5"/>
  <c r="Z454" i="5"/>
  <c r="Z441" i="5"/>
  <c r="Z451" i="5"/>
  <c r="Z420" i="5"/>
  <c r="Z304" i="5"/>
  <c r="Z556" i="5"/>
  <c r="Z243" i="5"/>
  <c r="Z41" i="5"/>
  <c r="Z357" i="5"/>
  <c r="AB7" i="5"/>
  <c r="AA7" i="5"/>
  <c r="AA37" i="5" l="1"/>
  <c r="AB37" i="5"/>
  <c r="AB357" i="5"/>
  <c r="AA357" i="5"/>
  <c r="AA304" i="5"/>
  <c r="AB304" i="5"/>
  <c r="AB454" i="5"/>
  <c r="AA454" i="5"/>
  <c r="AA281" i="5"/>
  <c r="AB281" i="5"/>
  <c r="AB248" i="5"/>
  <c r="AA248" i="5"/>
  <c r="AB453" i="5"/>
  <c r="AA453" i="5"/>
  <c r="AB419" i="5"/>
  <c r="AA419" i="5"/>
  <c r="AB249" i="5"/>
  <c r="AA249" i="5"/>
  <c r="AB219" i="5"/>
  <c r="AA219" i="5"/>
  <c r="AB341" i="5"/>
  <c r="AA341" i="5"/>
  <c r="AB427" i="5"/>
  <c r="AA427" i="5"/>
  <c r="AA21" i="5"/>
  <c r="AB21" i="5"/>
  <c r="AA329" i="5"/>
  <c r="AB329" i="5"/>
  <c r="AB404" i="5"/>
  <c r="AA404" i="5"/>
  <c r="AB154" i="5"/>
  <c r="AA154" i="5"/>
  <c r="AB132" i="5"/>
  <c r="AA132" i="5"/>
  <c r="AB359" i="5"/>
  <c r="AA359" i="5"/>
  <c r="AB334" i="5"/>
  <c r="AA334" i="5"/>
  <c r="AA277" i="5"/>
  <c r="AB277" i="5"/>
  <c r="AA526" i="5"/>
  <c r="AB526" i="5"/>
  <c r="AB535" i="5"/>
  <c r="AA535" i="5"/>
  <c r="AB52" i="5"/>
  <c r="AA52" i="5"/>
  <c r="AB424" i="5"/>
  <c r="AA424" i="5"/>
  <c r="AA434" i="5"/>
  <c r="AB434" i="5"/>
  <c r="AB93" i="5"/>
  <c r="AA93" i="5"/>
  <c r="AB53" i="5"/>
  <c r="AA53" i="5"/>
  <c r="AA403" i="5"/>
  <c r="AB403" i="5"/>
  <c r="AA297" i="5"/>
  <c r="AB297" i="5"/>
  <c r="AA92" i="5"/>
  <c r="AB92" i="5"/>
  <c r="AA255" i="5"/>
  <c r="AB255" i="5"/>
  <c r="AA382" i="5"/>
  <c r="AB382" i="5"/>
  <c r="AA438" i="5"/>
  <c r="AB438" i="5"/>
  <c r="AA271" i="5"/>
  <c r="AB271" i="5"/>
  <c r="AA416" i="5"/>
  <c r="AB416" i="5"/>
  <c r="AA491" i="5"/>
  <c r="AB491" i="5"/>
  <c r="AB60" i="5"/>
  <c r="AA60" i="5"/>
  <c r="AA462" i="5"/>
  <c r="AB462" i="5"/>
  <c r="AA333" i="5"/>
  <c r="AB333" i="5"/>
  <c r="AB469" i="5"/>
  <c r="AA469" i="5"/>
  <c r="AA389" i="5"/>
  <c r="AB389" i="5"/>
  <c r="AA390" i="5"/>
  <c r="AB390" i="5"/>
  <c r="AA54" i="5"/>
  <c r="AB54" i="5"/>
  <c r="AA495" i="5"/>
  <c r="AB495" i="5"/>
  <c r="AB111" i="5"/>
  <c r="AA111" i="5"/>
  <c r="AB194" i="5"/>
  <c r="AA194" i="5"/>
  <c r="AB145" i="5"/>
  <c r="AA145" i="5"/>
  <c r="AA531" i="5"/>
  <c r="AB531" i="5"/>
  <c r="AA411" i="5"/>
  <c r="AB411" i="5"/>
  <c r="AB128" i="5"/>
  <c r="AA128" i="5"/>
  <c r="AB536" i="5"/>
  <c r="AA536" i="5"/>
  <c r="AB418" i="5"/>
  <c r="AA418" i="5"/>
  <c r="AB366" i="5"/>
  <c r="AA366" i="5"/>
  <c r="AA172" i="5"/>
  <c r="AB172" i="5"/>
  <c r="AA273" i="5"/>
  <c r="AB273" i="5"/>
  <c r="AA216" i="5"/>
  <c r="AB216" i="5"/>
  <c r="AB142" i="5"/>
  <c r="AA142" i="5"/>
  <c r="AA485" i="5"/>
  <c r="AB485" i="5"/>
  <c r="AB12" i="5"/>
  <c r="AA12" i="5"/>
  <c r="AB496" i="5"/>
  <c r="AA496" i="5"/>
  <c r="AA502" i="5"/>
  <c r="AB502" i="5"/>
  <c r="AA527" i="5"/>
  <c r="AB527" i="5"/>
  <c r="AA23" i="5"/>
  <c r="AB23" i="5"/>
  <c r="AB499" i="5"/>
  <c r="AA499" i="5"/>
  <c r="AA115" i="5"/>
  <c r="AB115" i="5"/>
  <c r="AA186" i="5"/>
  <c r="AB186" i="5"/>
  <c r="AB552" i="5"/>
  <c r="AA552" i="5"/>
  <c r="AA90" i="5"/>
  <c r="AB90" i="5"/>
  <c r="AB130" i="5"/>
  <c r="AA130" i="5"/>
  <c r="AA47" i="5"/>
  <c r="AB47" i="5"/>
  <c r="AA114" i="5"/>
  <c r="AB114" i="5"/>
  <c r="AA215" i="5"/>
  <c r="AB215" i="5"/>
  <c r="AA285" i="5"/>
  <c r="AB285" i="5"/>
  <c r="AA456" i="5"/>
  <c r="AB456" i="5"/>
  <c r="AA505" i="5"/>
  <c r="AB505" i="5"/>
  <c r="AB112" i="5"/>
  <c r="AA112" i="5"/>
  <c r="AB367" i="5"/>
  <c r="AA367" i="5"/>
  <c r="AA537" i="5"/>
  <c r="AB537" i="5"/>
  <c r="AA134" i="5"/>
  <c r="AB134" i="5"/>
  <c r="AB300" i="5"/>
  <c r="AA300" i="5"/>
  <c r="AB487" i="5"/>
  <c r="AA487" i="5"/>
  <c r="AB77" i="5"/>
  <c r="AA77" i="5"/>
  <c r="AA230" i="5"/>
  <c r="AB230" i="5"/>
  <c r="AB242" i="5"/>
  <c r="AA242" i="5"/>
  <c r="AA187" i="5"/>
  <c r="AB187" i="5"/>
  <c r="AA116" i="5"/>
  <c r="AB116" i="5"/>
  <c r="AA507" i="5"/>
  <c r="AB507" i="5"/>
  <c r="AB336" i="5"/>
  <c r="AA336" i="5"/>
  <c r="AA26" i="5"/>
  <c r="AB26" i="5"/>
  <c r="AA146" i="5"/>
  <c r="AB146" i="5"/>
  <c r="AB161" i="5"/>
  <c r="AA161" i="5"/>
  <c r="AA516" i="5"/>
  <c r="AB516" i="5"/>
  <c r="AA124" i="5"/>
  <c r="AB124" i="5"/>
  <c r="AA522" i="5"/>
  <c r="AB522" i="5"/>
  <c r="AB165" i="5"/>
  <c r="AA165" i="5"/>
  <c r="AB503" i="5"/>
  <c r="AA503" i="5"/>
  <c r="AA184" i="5"/>
  <c r="AB184" i="5"/>
  <c r="AB190" i="5"/>
  <c r="AA190" i="5"/>
  <c r="AA137" i="5"/>
  <c r="AB137" i="5"/>
  <c r="AA24" i="5"/>
  <c r="AB24" i="5"/>
  <c r="AB234" i="5"/>
  <c r="AA234" i="5"/>
  <c r="AA106" i="5"/>
  <c r="AB106" i="5"/>
  <c r="AB8" i="5"/>
  <c r="AA8" i="5"/>
  <c r="AB159" i="5"/>
  <c r="AA159" i="5"/>
  <c r="AB483" i="5"/>
  <c r="AA483" i="5"/>
  <c r="AA317" i="5"/>
  <c r="AB317" i="5"/>
  <c r="AB320" i="5"/>
  <c r="AA320" i="5"/>
  <c r="AB84" i="5"/>
  <c r="AA84" i="5"/>
  <c r="AA169" i="5"/>
  <c r="AB169" i="5"/>
  <c r="AA408" i="5"/>
  <c r="AB408" i="5"/>
  <c r="AA450" i="5"/>
  <c r="AB450" i="5"/>
  <c r="AA222" i="5"/>
  <c r="AB222" i="5"/>
  <c r="AB65" i="5"/>
  <c r="AA65" i="5"/>
  <c r="AA449" i="5"/>
  <c r="AB449" i="5"/>
  <c r="AA414" i="5"/>
  <c r="AB414" i="5"/>
  <c r="AB63" i="5"/>
  <c r="AA63" i="5"/>
  <c r="AB409" i="5"/>
  <c r="AA409" i="5"/>
  <c r="AA13" i="5"/>
  <c r="AB13" i="5"/>
  <c r="AA119" i="5"/>
  <c r="AB119" i="5"/>
  <c r="AB352" i="5"/>
  <c r="AA352" i="5"/>
  <c r="AA431" i="5"/>
  <c r="AB431" i="5"/>
  <c r="AB196" i="5"/>
  <c r="AA196" i="5"/>
  <c r="AB542" i="5"/>
  <c r="AA542" i="5"/>
  <c r="AB543" i="5"/>
  <c r="AA543" i="5"/>
  <c r="AA202" i="5"/>
  <c r="AB202" i="5"/>
  <c r="AB182" i="5"/>
  <c r="AA182" i="5"/>
  <c r="AA435" i="5"/>
  <c r="AB435" i="5"/>
  <c r="AA98" i="5"/>
  <c r="AB98" i="5"/>
  <c r="AB348" i="5"/>
  <c r="AA348" i="5"/>
  <c r="AB510" i="5"/>
  <c r="AA510" i="5"/>
  <c r="AA288" i="5"/>
  <c r="AB288" i="5"/>
  <c r="AB107" i="5"/>
  <c r="AA107" i="5"/>
  <c r="AA34" i="5"/>
  <c r="AB34" i="5"/>
  <c r="AA378" i="5"/>
  <c r="AB378" i="5"/>
  <c r="AA337" i="5"/>
  <c r="AB337" i="5"/>
  <c r="AA246" i="5"/>
  <c r="AB246" i="5"/>
  <c r="AA80" i="5"/>
  <c r="AB80" i="5"/>
  <c r="AB375" i="5"/>
  <c r="AA375" i="5"/>
  <c r="AA41" i="5"/>
  <c r="AB41" i="5"/>
  <c r="AB420" i="5"/>
  <c r="AA420" i="5"/>
  <c r="AB388" i="5"/>
  <c r="AA388" i="5"/>
  <c r="AB345" i="5"/>
  <c r="AA345" i="5"/>
  <c r="AA520" i="5"/>
  <c r="AB520" i="5"/>
  <c r="AA162" i="5"/>
  <c r="AB162" i="5"/>
  <c r="AA557" i="5"/>
  <c r="AB557" i="5"/>
  <c r="AB289" i="5"/>
  <c r="AA289" i="5"/>
  <c r="AB225" i="5"/>
  <c r="AA225" i="5"/>
  <c r="AB188" i="5"/>
  <c r="AA188" i="5"/>
  <c r="AA102" i="5"/>
  <c r="AB102" i="5"/>
  <c r="AB253" i="5"/>
  <c r="AA253" i="5"/>
  <c r="AB560" i="5"/>
  <c r="AA560" i="5"/>
  <c r="AA397" i="5"/>
  <c r="AB397" i="5"/>
  <c r="AB463" i="5"/>
  <c r="AA463" i="5"/>
  <c r="AB109" i="5"/>
  <c r="AA109" i="5"/>
  <c r="AB358" i="5"/>
  <c r="AA358" i="5"/>
  <c r="AA364" i="5"/>
  <c r="AB364" i="5"/>
  <c r="AA316" i="5"/>
  <c r="AB316" i="5"/>
  <c r="AA121" i="5"/>
  <c r="AB121" i="5"/>
  <c r="AA468" i="5"/>
  <c r="AB468" i="5"/>
  <c r="AB548" i="5"/>
  <c r="AA548" i="5"/>
  <c r="AB238" i="5"/>
  <c r="AA238" i="5"/>
  <c r="AB40" i="5"/>
  <c r="AA40" i="5"/>
  <c r="AA125" i="5"/>
  <c r="AB125" i="5"/>
  <c r="AB309" i="5"/>
  <c r="AA309" i="5"/>
  <c r="AB217" i="5"/>
  <c r="AA217" i="5"/>
  <c r="AA553" i="5"/>
  <c r="AB553" i="5"/>
  <c r="AB544" i="5"/>
  <c r="AA544" i="5"/>
  <c r="AA133" i="5"/>
  <c r="AB133" i="5"/>
  <c r="AA267" i="5"/>
  <c r="AB267" i="5"/>
  <c r="AB209" i="5"/>
  <c r="AA209" i="5"/>
  <c r="AA559" i="5"/>
  <c r="AB559" i="5"/>
  <c r="AB291" i="5"/>
  <c r="AA291" i="5"/>
  <c r="AA305" i="5"/>
  <c r="AB305" i="5"/>
  <c r="AB558" i="5"/>
  <c r="AA558" i="5"/>
  <c r="AB97" i="5"/>
  <c r="AA97" i="5"/>
  <c r="AA314" i="5"/>
  <c r="AB314" i="5"/>
  <c r="AB497" i="5"/>
  <c r="AA497" i="5"/>
  <c r="AB374" i="5"/>
  <c r="AA374" i="5"/>
  <c r="AB372" i="5"/>
  <c r="AA372" i="5"/>
  <c r="AA355" i="5"/>
  <c r="AB355" i="5"/>
  <c r="AB303" i="5"/>
  <c r="AA303" i="5"/>
  <c r="AA120" i="5"/>
  <c r="AB120" i="5"/>
  <c r="AB481" i="5"/>
  <c r="AA481" i="5"/>
  <c r="AA104" i="5"/>
  <c r="AB104" i="5"/>
  <c r="AB443" i="5"/>
  <c r="AA443" i="5"/>
  <c r="AA524" i="5"/>
  <c r="AB524" i="5"/>
  <c r="AB504" i="5"/>
  <c r="AA504" i="5"/>
  <c r="AA178" i="5"/>
  <c r="AB178" i="5"/>
  <c r="AB263" i="5"/>
  <c r="AA263" i="5"/>
  <c r="AA94" i="5"/>
  <c r="AB94" i="5"/>
  <c r="AA330" i="5"/>
  <c r="AB330" i="5"/>
  <c r="AB276" i="5"/>
  <c r="AA276" i="5"/>
  <c r="AB457" i="5"/>
  <c r="AA457" i="5"/>
  <c r="AB226" i="5"/>
  <c r="AA226" i="5"/>
  <c r="AA318" i="5"/>
  <c r="AB318" i="5"/>
  <c r="AB179" i="5"/>
  <c r="AA179" i="5"/>
  <c r="AA282" i="5"/>
  <c r="AB282" i="5"/>
  <c r="AB166" i="5"/>
  <c r="AA166" i="5"/>
  <c r="AA480" i="5"/>
  <c r="AB480" i="5"/>
  <c r="AB494" i="5"/>
  <c r="AA494" i="5"/>
  <c r="AA464" i="5"/>
  <c r="AB464" i="5"/>
  <c r="AA471" i="5"/>
  <c r="AB471" i="5"/>
  <c r="AA27" i="5"/>
  <c r="AB27" i="5"/>
  <c r="AB475" i="5"/>
  <c r="AA475" i="5"/>
  <c r="AB204" i="5"/>
  <c r="AA204" i="5"/>
  <c r="AA440" i="5"/>
  <c r="AB440" i="5"/>
  <c r="AB426" i="5"/>
  <c r="AA426" i="5"/>
  <c r="AA518" i="5"/>
  <c r="AB518" i="5"/>
  <c r="AA19" i="5"/>
  <c r="AB19" i="5"/>
  <c r="AB221" i="5"/>
  <c r="AA221" i="5"/>
  <c r="AA470" i="5"/>
  <c r="AB470" i="5"/>
  <c r="AA144" i="5"/>
  <c r="AB144" i="5"/>
  <c r="AA66" i="5"/>
  <c r="AB66" i="5"/>
  <c r="AA79" i="5"/>
  <c r="AB79" i="5"/>
  <c r="AB240" i="5"/>
  <c r="AA240" i="5"/>
  <c r="AB338" i="5"/>
  <c r="AA338" i="5"/>
  <c r="AB193" i="5"/>
  <c r="AA193" i="5"/>
  <c r="AA177" i="5"/>
  <c r="AB177" i="5"/>
  <c r="AA354" i="5"/>
  <c r="AB354" i="5"/>
  <c r="AB473" i="5"/>
  <c r="AA473" i="5"/>
  <c r="AB362" i="5"/>
  <c r="AA362" i="5"/>
  <c r="AA429" i="5"/>
  <c r="AB429" i="5"/>
  <c r="AB365" i="5"/>
  <c r="AA365" i="5"/>
  <c r="AB200" i="5"/>
  <c r="AA200" i="5"/>
  <c r="AB433" i="5"/>
  <c r="AA433" i="5"/>
  <c r="AB484" i="5"/>
  <c r="AA484" i="5"/>
  <c r="AB43" i="5"/>
  <c r="AA43" i="5"/>
  <c r="AA356" i="5"/>
  <c r="AB356" i="5"/>
  <c r="AA163" i="5"/>
  <c r="AB163" i="5"/>
  <c r="AA131" i="5"/>
  <c r="AB131" i="5"/>
  <c r="AA439" i="5"/>
  <c r="AB439" i="5"/>
  <c r="AA322" i="5"/>
  <c r="AB322" i="5"/>
  <c r="AA327" i="5"/>
  <c r="AB327" i="5"/>
  <c r="AA138" i="5"/>
  <c r="AB138" i="5"/>
  <c r="AB218" i="5"/>
  <c r="AA218" i="5"/>
  <c r="AB129" i="5"/>
  <c r="AA129" i="5"/>
  <c r="AA361" i="5"/>
  <c r="AB361" i="5"/>
  <c r="AA312" i="5"/>
  <c r="AB312" i="5"/>
  <c r="AA81" i="5"/>
  <c r="AB81" i="5"/>
  <c r="AA100" i="5"/>
  <c r="AB100" i="5"/>
  <c r="AA241" i="5"/>
  <c r="AB241" i="5"/>
  <c r="AB488" i="5"/>
  <c r="AA488" i="5"/>
  <c r="AB205" i="5"/>
  <c r="AA205" i="5"/>
  <c r="AB299" i="5"/>
  <c r="AA299" i="5"/>
  <c r="AB402" i="5"/>
  <c r="AA402" i="5"/>
  <c r="AA335" i="5"/>
  <c r="AB335" i="5"/>
  <c r="AB549" i="5"/>
  <c r="AA549" i="5"/>
  <c r="AB447" i="5"/>
  <c r="AA447" i="5"/>
  <c r="AA192" i="5"/>
  <c r="AB192" i="5"/>
  <c r="AB486" i="5"/>
  <c r="AA486" i="5"/>
  <c r="AA346" i="5"/>
  <c r="AB346" i="5"/>
  <c r="AA363" i="5"/>
  <c r="AB363" i="5"/>
  <c r="AB88" i="5"/>
  <c r="AA88" i="5"/>
  <c r="AB223" i="5"/>
  <c r="AA223" i="5"/>
  <c r="AA342" i="5"/>
  <c r="AB342" i="5"/>
  <c r="AB278" i="5"/>
  <c r="AA278" i="5"/>
  <c r="AA530" i="5"/>
  <c r="AB530" i="5"/>
  <c r="AB432" i="5"/>
  <c r="AA432" i="5"/>
  <c r="AA490" i="5"/>
  <c r="AB490" i="5"/>
  <c r="AB62" i="5"/>
  <c r="AA62" i="5"/>
  <c r="AA57" i="5"/>
  <c r="AB57" i="5"/>
  <c r="AB259" i="5"/>
  <c r="AA259" i="5"/>
  <c r="AA181" i="5"/>
  <c r="AB181" i="5"/>
  <c r="AA78" i="5"/>
  <c r="AB78" i="5"/>
  <c r="AA376" i="5"/>
  <c r="AB376" i="5"/>
  <c r="AA509" i="5"/>
  <c r="AB509" i="5"/>
  <c r="AA233" i="5"/>
  <c r="AB233" i="5"/>
  <c r="AA554" i="5"/>
  <c r="AB554" i="5"/>
  <c r="AA417" i="5"/>
  <c r="AB417" i="5"/>
  <c r="AB379" i="5"/>
  <c r="AA379" i="5"/>
  <c r="AB211" i="5"/>
  <c r="AA211" i="5"/>
  <c r="AB528" i="5"/>
  <c r="AA528" i="5"/>
  <c r="AA459" i="5"/>
  <c r="AB459" i="5"/>
  <c r="AB350" i="5"/>
  <c r="AA350" i="5"/>
  <c r="AA243" i="5"/>
  <c r="AB243" i="5"/>
  <c r="AB451" i="5"/>
  <c r="AA451" i="5"/>
  <c r="AA444" i="5"/>
  <c r="AB444" i="5"/>
  <c r="AB385" i="5"/>
  <c r="AA385" i="5"/>
  <c r="AA323" i="5"/>
  <c r="AB323" i="5"/>
  <c r="AA99" i="5"/>
  <c r="AB99" i="5"/>
  <c r="AB136" i="5"/>
  <c r="AA136" i="5"/>
  <c r="AA157" i="5"/>
  <c r="AB157" i="5"/>
  <c r="AB210" i="5"/>
  <c r="AA210" i="5"/>
  <c r="AB49" i="5"/>
  <c r="AA49" i="5"/>
  <c r="AB201" i="5"/>
  <c r="AA201" i="5"/>
  <c r="AB383" i="5"/>
  <c r="AA383" i="5"/>
  <c r="AA153" i="5"/>
  <c r="AB153" i="5"/>
  <c r="AB479" i="5"/>
  <c r="AA479" i="5"/>
  <c r="AB224" i="5"/>
  <c r="AA224" i="5"/>
  <c r="AB394" i="5"/>
  <c r="AA394" i="5"/>
  <c r="AB176" i="5"/>
  <c r="AA176" i="5"/>
  <c r="AB173" i="5"/>
  <c r="AA173" i="5"/>
  <c r="AB108" i="5"/>
  <c r="AA108" i="5"/>
  <c r="AA307" i="5"/>
  <c r="AB307" i="5"/>
  <c r="AA113" i="5"/>
  <c r="AB113" i="5"/>
  <c r="AB32" i="5"/>
  <c r="AA32" i="5"/>
  <c r="AB396" i="5"/>
  <c r="AA396" i="5"/>
  <c r="AA541" i="5"/>
  <c r="AB541" i="5"/>
  <c r="AA423" i="5"/>
  <c r="AB423" i="5"/>
  <c r="AB294" i="5"/>
  <c r="AA294" i="5"/>
  <c r="AB70" i="5"/>
  <c r="AA70" i="5"/>
  <c r="AB284" i="5"/>
  <c r="AA284" i="5"/>
  <c r="AB42" i="5"/>
  <c r="AA42" i="5"/>
  <c r="AA268" i="5"/>
  <c r="AB268" i="5"/>
  <c r="AB286" i="5"/>
  <c r="AA286" i="5"/>
  <c r="AB392" i="5"/>
  <c r="AA392" i="5"/>
  <c r="AA158" i="5"/>
  <c r="AB158" i="5"/>
  <c r="AB250" i="5"/>
  <c r="AA250" i="5"/>
  <c r="AA489" i="5"/>
  <c r="AB489" i="5"/>
  <c r="AA551" i="5"/>
  <c r="AB551" i="5"/>
  <c r="AA160" i="5"/>
  <c r="AB160" i="5"/>
  <c r="AB340" i="5"/>
  <c r="AA340" i="5"/>
  <c r="AB117" i="5"/>
  <c r="AA117" i="5"/>
  <c r="AB519" i="5"/>
  <c r="AA519" i="5"/>
  <c r="AA220" i="5"/>
  <c r="AB220" i="5"/>
  <c r="AB437" i="5"/>
  <c r="AA437" i="5"/>
  <c r="AA478" i="5"/>
  <c r="AB478" i="5"/>
  <c r="AA550" i="5"/>
  <c r="AB550" i="5"/>
  <c r="AB167" i="5"/>
  <c r="AA167" i="5"/>
  <c r="AB155" i="5"/>
  <c r="AA155" i="5"/>
  <c r="AA56" i="5"/>
  <c r="AB56" i="5"/>
  <c r="AA86" i="5"/>
  <c r="AB86" i="5"/>
  <c r="AA472" i="5"/>
  <c r="AB472" i="5"/>
  <c r="AB189" i="5"/>
  <c r="AA189" i="5"/>
  <c r="AA292" i="5"/>
  <c r="AB292" i="5"/>
  <c r="AB391" i="5"/>
  <c r="AA391" i="5"/>
  <c r="AB123" i="5"/>
  <c r="AA123" i="5"/>
  <c r="AA227" i="5"/>
  <c r="AB227" i="5"/>
  <c r="AB147" i="5"/>
  <c r="AA147" i="5"/>
  <c r="AB290" i="5"/>
  <c r="AA290" i="5"/>
  <c r="AB251" i="5"/>
  <c r="AA251" i="5"/>
  <c r="AB421" i="5"/>
  <c r="AA421" i="5"/>
  <c r="AA168" i="5"/>
  <c r="AB168" i="5"/>
  <c r="AA126" i="5"/>
  <c r="AB126" i="5"/>
  <c r="AA103" i="5"/>
  <c r="AB103" i="5"/>
  <c r="AB369" i="5"/>
  <c r="AA369" i="5"/>
  <c r="AA61" i="5"/>
  <c r="AB61" i="5"/>
  <c r="AB272" i="5"/>
  <c r="AA272" i="5"/>
  <c r="AA118" i="5"/>
  <c r="AB118" i="5"/>
  <c r="AA266" i="5"/>
  <c r="AB266" i="5"/>
  <c r="AB195" i="5"/>
  <c r="AA195" i="5"/>
  <c r="AA287" i="5"/>
  <c r="AB287" i="5"/>
  <c r="AB270" i="5"/>
  <c r="AA270" i="5"/>
  <c r="AA428" i="5"/>
  <c r="AB428" i="5"/>
  <c r="AB351" i="5"/>
  <c r="AA351" i="5"/>
  <c r="AA387" i="5"/>
  <c r="AB387" i="5"/>
  <c r="AB513" i="5"/>
  <c r="AA513" i="5"/>
  <c r="AA373" i="5"/>
  <c r="AB373" i="5"/>
  <c r="AA180" i="5"/>
  <c r="AB180" i="5"/>
  <c r="AB311" i="5"/>
  <c r="AA311" i="5"/>
  <c r="AA445" i="5"/>
  <c r="AB445" i="5"/>
  <c r="AA38" i="5"/>
  <c r="AB38" i="5"/>
  <c r="AB69" i="5"/>
  <c r="AA69" i="5"/>
  <c r="AA72" i="5"/>
  <c r="AB72" i="5"/>
  <c r="AA35" i="5"/>
  <c r="AB35" i="5"/>
  <c r="AB555" i="5"/>
  <c r="AA555" i="5"/>
  <c r="AA546" i="5"/>
  <c r="AB546" i="5"/>
  <c r="AA448" i="5"/>
  <c r="AB448" i="5"/>
  <c r="AB96" i="5"/>
  <c r="AA96" i="5"/>
  <c r="AB319" i="5"/>
  <c r="AA319" i="5"/>
  <c r="AA237" i="5"/>
  <c r="AB237" i="5"/>
  <c r="AA430" i="5"/>
  <c r="AB430" i="5"/>
  <c r="AB183" i="5"/>
  <c r="AA183" i="5"/>
  <c r="AA95" i="5"/>
  <c r="AB95" i="5"/>
  <c r="AA245" i="5"/>
  <c r="AB245" i="5"/>
  <c r="AA76" i="5"/>
  <c r="AB76" i="5"/>
  <c r="AB89" i="5"/>
  <c r="AA89" i="5"/>
  <c r="AB44" i="5"/>
  <c r="AA44" i="5"/>
  <c r="AB135" i="5"/>
  <c r="AA135" i="5"/>
  <c r="AB283" i="5"/>
  <c r="AA283" i="5"/>
  <c r="AB514" i="5"/>
  <c r="AA514" i="5"/>
  <c r="AA461" i="5"/>
  <c r="AB461" i="5"/>
  <c r="AB68" i="5"/>
  <c r="AA68" i="5"/>
  <c r="AA500" i="5"/>
  <c r="AB500" i="5"/>
  <c r="AA191" i="5"/>
  <c r="AB191" i="5"/>
  <c r="AA436" i="5"/>
  <c r="AB436" i="5"/>
  <c r="AA377" i="5"/>
  <c r="AB377" i="5"/>
  <c r="AB51" i="5"/>
  <c r="AA51" i="5"/>
  <c r="AA331" i="5"/>
  <c r="AB331" i="5"/>
  <c r="AA492" i="5"/>
  <c r="AB492" i="5"/>
  <c r="AB197" i="5"/>
  <c r="AA197" i="5"/>
  <c r="AA232" i="5"/>
  <c r="AB232" i="5"/>
  <c r="AB71" i="5"/>
  <c r="AA71" i="5"/>
  <c r="AB20" i="5"/>
  <c r="AA20" i="5"/>
  <c r="AA257" i="5"/>
  <c r="AB257" i="5"/>
  <c r="AA239" i="5"/>
  <c r="AB239" i="5"/>
  <c r="AA82" i="5"/>
  <c r="AB82" i="5"/>
  <c r="AB460" i="5"/>
  <c r="AA460" i="5"/>
  <c r="AB274" i="5"/>
  <c r="AA274" i="5"/>
  <c r="AB410" i="5"/>
  <c r="AA410" i="5"/>
  <c r="AB264" i="5"/>
  <c r="AA264" i="5"/>
  <c r="AA149" i="5"/>
  <c r="AB149" i="5"/>
  <c r="AB45" i="5"/>
  <c r="AA45" i="5"/>
  <c r="AA401" i="5"/>
  <c r="AB401" i="5"/>
  <c r="AA529" i="5"/>
  <c r="AB529" i="5"/>
  <c r="AA91" i="5"/>
  <c r="AB91" i="5"/>
  <c r="AB405" i="5"/>
  <c r="AA405" i="5"/>
  <c r="AB175" i="5"/>
  <c r="AA175" i="5"/>
  <c r="AA501" i="5"/>
  <c r="AB501" i="5"/>
  <c r="AA31" i="5"/>
  <c r="AB31" i="5"/>
  <c r="AA244" i="5"/>
  <c r="AB244" i="5"/>
  <c r="AB260" i="5"/>
  <c r="AA260" i="5"/>
  <c r="AB170" i="5"/>
  <c r="AA170" i="5"/>
  <c r="AA539" i="5"/>
  <c r="AB539" i="5"/>
  <c r="AB512" i="5"/>
  <c r="AA512" i="5"/>
  <c r="AA406" i="5"/>
  <c r="AB406" i="5"/>
  <c r="AB343" i="5"/>
  <c r="AA343" i="5"/>
  <c r="AB452" i="5"/>
  <c r="AA452" i="5"/>
  <c r="AA353" i="5"/>
  <c r="AB353" i="5"/>
  <c r="AA556" i="5"/>
  <c r="AB556" i="5"/>
  <c r="AB441" i="5"/>
  <c r="AA441" i="5"/>
  <c r="AB67" i="5"/>
  <c r="AA67" i="5"/>
  <c r="AA344" i="5"/>
  <c r="AB344" i="5"/>
  <c r="AA371" i="5"/>
  <c r="AB371" i="5"/>
  <c r="AA164" i="5"/>
  <c r="AB164" i="5"/>
  <c r="AB150" i="5"/>
  <c r="AA150" i="5"/>
  <c r="AA101" i="5"/>
  <c r="AB101" i="5"/>
  <c r="AA293" i="5"/>
  <c r="AB293" i="5"/>
  <c r="AB185" i="5"/>
  <c r="AA185" i="5"/>
  <c r="AB398" i="5"/>
  <c r="AA398" i="5"/>
  <c r="AA105" i="5"/>
  <c r="AB105" i="5"/>
  <c r="AB425" i="5"/>
  <c r="AA425" i="5"/>
  <c r="AA545" i="5"/>
  <c r="AB545" i="5"/>
  <c r="AA174" i="5"/>
  <c r="AB174" i="5"/>
  <c r="AA360" i="5"/>
  <c r="AB360" i="5"/>
  <c r="AB58" i="5"/>
  <c r="AA58" i="5"/>
  <c r="AA29" i="5"/>
  <c r="AB29" i="5"/>
  <c r="AA532" i="5"/>
  <c r="AB532" i="5"/>
  <c r="AB295" i="5"/>
  <c r="AA295" i="5"/>
  <c r="AB83" i="5"/>
  <c r="AA83" i="5"/>
  <c r="AB477" i="5"/>
  <c r="AA477" i="5"/>
  <c r="AA151" i="5"/>
  <c r="AB151" i="5"/>
  <c r="AB261" i="5"/>
  <c r="AA261" i="5"/>
  <c r="AA235" i="5"/>
  <c r="AB235" i="5"/>
  <c r="AB328" i="5"/>
  <c r="AA328" i="5"/>
  <c r="AB381" i="5"/>
  <c r="AA381" i="5"/>
  <c r="AA538" i="5"/>
  <c r="AB538" i="5"/>
  <c r="AB540" i="5"/>
  <c r="AA540" i="5"/>
  <c r="AA298" i="5"/>
  <c r="AB298" i="5"/>
  <c r="AA74" i="5"/>
  <c r="AB74" i="5"/>
  <c r="AB370" i="5"/>
  <c r="AA370" i="5"/>
  <c r="AA231" i="5"/>
  <c r="AB231" i="5"/>
  <c r="AA384" i="5"/>
  <c r="AB384" i="5"/>
  <c r="AA523" i="5"/>
  <c r="AB523" i="5"/>
  <c r="AA214" i="5"/>
  <c r="AB214" i="5"/>
  <c r="AA140" i="5"/>
  <c r="AB140" i="5"/>
  <c r="AA326" i="5"/>
  <c r="AB326" i="5"/>
  <c r="AA213" i="5"/>
  <c r="AB213" i="5"/>
  <c r="AA73" i="5"/>
  <c r="AB73" i="5"/>
  <c r="AA339" i="5"/>
  <c r="AB339" i="5"/>
  <c r="AA258" i="5"/>
  <c r="AB258" i="5"/>
  <c r="AA508" i="5"/>
  <c r="AB508" i="5"/>
  <c r="AA517" i="5"/>
  <c r="AB517" i="5"/>
  <c r="AB466" i="5"/>
  <c r="AA466" i="5"/>
  <c r="AA301" i="5"/>
  <c r="AB301" i="5"/>
  <c r="AA413" i="5"/>
  <c r="AB413" i="5"/>
  <c r="AA534" i="5"/>
  <c r="AB534" i="5"/>
  <c r="AA48" i="5"/>
  <c r="AB48" i="5"/>
  <c r="AA547" i="5"/>
  <c r="AB547" i="5"/>
  <c r="AB36" i="5"/>
  <c r="AA36" i="5"/>
  <c r="AB156" i="5"/>
  <c r="AA156" i="5"/>
  <c r="AB321" i="5"/>
  <c r="AA321" i="5"/>
  <c r="AA212" i="5"/>
  <c r="AB212" i="5"/>
  <c r="AB474" i="5"/>
  <c r="AA474" i="5"/>
  <c r="AB476" i="5"/>
  <c r="AA476" i="5"/>
  <c r="AA228" i="5"/>
  <c r="AB228" i="5"/>
  <c r="AB30" i="5"/>
  <c r="AA30" i="5"/>
  <c r="AA521" i="5"/>
  <c r="AB521" i="5"/>
  <c r="AA458" i="5"/>
  <c r="AB458" i="5"/>
  <c r="AA254" i="5"/>
  <c r="AB254" i="5"/>
  <c r="AB247" i="5"/>
  <c r="AA247" i="5"/>
  <c r="AA75" i="5"/>
  <c r="AB75" i="5"/>
  <c r="AB46" i="5"/>
  <c r="AA46" i="5"/>
  <c r="AB380" i="5"/>
  <c r="AA380" i="5"/>
  <c r="AB310" i="5"/>
  <c r="AA310" i="5"/>
  <c r="AB256" i="5"/>
  <c r="AA256" i="5"/>
  <c r="AA325" i="5"/>
  <c r="AB325" i="5"/>
  <c r="AB28" i="5"/>
  <c r="AA28" i="5"/>
  <c r="AB400" i="5"/>
  <c r="AA400" i="5"/>
  <c r="AA127" i="5"/>
  <c r="AB127" i="5"/>
  <c r="AB279" i="5"/>
  <c r="AA279" i="5"/>
  <c r="AB442" i="5"/>
  <c r="AA442" i="5"/>
  <c r="AA22" i="5"/>
  <c r="AB22" i="5"/>
  <c r="AA208" i="5"/>
  <c r="AB208" i="5"/>
  <c r="AB302" i="5"/>
  <c r="AA302" i="5"/>
  <c r="AB395" i="5"/>
  <c r="AA395" i="5"/>
  <c r="AA465" i="5"/>
  <c r="AB465" i="5"/>
  <c r="AB207" i="5"/>
  <c r="AA207" i="5"/>
  <c r="AB236" i="5"/>
  <c r="AA236" i="5"/>
  <c r="AA506" i="5"/>
  <c r="AB506" i="5"/>
  <c r="AA55" i="5"/>
  <c r="AB55" i="5"/>
  <c r="AA143" i="5"/>
  <c r="AB143" i="5"/>
  <c r="AA315" i="5"/>
  <c r="AB315" i="5"/>
  <c r="AA407" i="5"/>
  <c r="AB407" i="5"/>
  <c r="AB265" i="5"/>
  <c r="AA265" i="5"/>
  <c r="AA415" i="5"/>
  <c r="AB415" i="5"/>
  <c r="AA59" i="5"/>
  <c r="AB59" i="5"/>
  <c r="AB171" i="5"/>
  <c r="AA171" i="5"/>
  <c r="AB25" i="5"/>
  <c r="AA25" i="5"/>
  <c r="AA110" i="5"/>
  <c r="AB110" i="5"/>
  <c r="AA498" i="5"/>
  <c r="AB498" i="5"/>
  <c r="AA64" i="5"/>
  <c r="AB64" i="5"/>
  <c r="AB349" i="5"/>
  <c r="AA349" i="5"/>
  <c r="AA85" i="5"/>
  <c r="AB85" i="5"/>
  <c r="AA280" i="5"/>
  <c r="AB280" i="5"/>
  <c r="AA493" i="5"/>
  <c r="AB493" i="5"/>
  <c r="AA198" i="5"/>
  <c r="AB198" i="5"/>
  <c r="AB296" i="5"/>
  <c r="AA296" i="5"/>
  <c r="AA533" i="5"/>
  <c r="AB533" i="5"/>
  <c r="AB313" i="5"/>
  <c r="AA313" i="5"/>
  <c r="AB386" i="5"/>
  <c r="AA386" i="5"/>
  <c r="AB482" i="5"/>
  <c r="AA482" i="5"/>
  <c r="AA399" i="5"/>
  <c r="AB399" i="5"/>
  <c r="AA275" i="5"/>
  <c r="AB275" i="5"/>
  <c r="AB306" i="5"/>
  <c r="AA306" i="5"/>
  <c r="AB412" i="5"/>
  <c r="AA412" i="5"/>
  <c r="AA152" i="5"/>
  <c r="AB152" i="5"/>
  <c r="AB262" i="5"/>
  <c r="AA262" i="5"/>
  <c r="AB368" i="5"/>
  <c r="AA368" i="5"/>
  <c r="AA332" i="5"/>
  <c r="AB332" i="5"/>
  <c r="AB141" i="5"/>
  <c r="AA141" i="5"/>
  <c r="AA50" i="5"/>
  <c r="AB50" i="5"/>
  <c r="AA422" i="5"/>
  <c r="AB422" i="5"/>
  <c r="AB269" i="5"/>
  <c r="AA269" i="5"/>
  <c r="AB324" i="5"/>
  <c r="AA324" i="5"/>
  <c r="AB229" i="5"/>
  <c r="AA229" i="5"/>
  <c r="AA446" i="5"/>
  <c r="AB446" i="5"/>
  <c r="AB347" i="5"/>
  <c r="AA347" i="5"/>
  <c r="AB515" i="5"/>
  <c r="AA515" i="5"/>
  <c r="AA139" i="5"/>
  <c r="AB139" i="5"/>
  <c r="AA39" i="5"/>
  <c r="AB39" i="5"/>
  <c r="AB87" i="5"/>
  <c r="AA87" i="5"/>
  <c r="AB122" i="5"/>
  <c r="AA122" i="5"/>
  <c r="AB33" i="5"/>
  <c r="AA33" i="5"/>
  <c r="AB467" i="5"/>
  <c r="AA467" i="5"/>
  <c r="AB393" i="5"/>
  <c r="AA393" i="5"/>
  <c r="AB206" i="5"/>
  <c r="AA206" i="5"/>
  <c r="AB199" i="5"/>
  <c r="AA199" i="5"/>
  <c r="AA525" i="5"/>
  <c r="AB525" i="5"/>
  <c r="AB148" i="5"/>
  <c r="AA148" i="5"/>
  <c r="AA511" i="5"/>
  <c r="AB511" i="5"/>
  <c r="AB203" i="5"/>
  <c r="AA203" i="5"/>
  <c r="AA455" i="5"/>
  <c r="AB455" i="5"/>
  <c r="AA308" i="5"/>
  <c r="AB308" i="5"/>
  <c r="AA252" i="5"/>
  <c r="AB252" i="5"/>
  <c r="H56" i="1" l="1"/>
  <c r="B87" i="2" l="1"/>
  <c r="B18" i="2"/>
  <c r="B131" i="2"/>
  <c r="B126" i="2"/>
  <c r="H51" i="1" s="1"/>
  <c r="B121" i="2"/>
  <c r="B125" i="2" s="1"/>
  <c r="H50" i="1" s="1"/>
  <c r="B128" i="2"/>
  <c r="B129" i="2" s="1"/>
  <c r="B114" i="2"/>
  <c r="B14" i="2"/>
  <c r="B45" i="5" l="1"/>
  <c r="T37" i="5" s="1"/>
  <c r="U37" i="5" s="1"/>
  <c r="B243" i="2"/>
  <c r="O12" i="4"/>
  <c r="S51" i="4" s="1"/>
  <c r="B70" i="5"/>
  <c r="B31" i="5"/>
  <c r="B76" i="2"/>
  <c r="B38" i="2"/>
  <c r="B39" i="2" s="1"/>
  <c r="B48" i="2" s="1"/>
  <c r="H24" i="1" s="1"/>
  <c r="B15" i="2"/>
  <c r="B60" i="2"/>
  <c r="B303" i="2"/>
  <c r="B45" i="2"/>
  <c r="B20" i="5"/>
  <c r="B68" i="2"/>
  <c r="H98" i="1"/>
  <c r="B321" i="2"/>
  <c r="B43" i="2"/>
  <c r="B16" i="2"/>
  <c r="B65" i="2"/>
  <c r="B57" i="2"/>
  <c r="B111" i="2"/>
  <c r="B42" i="5"/>
  <c r="W37" i="5" s="1"/>
  <c r="B73" i="2"/>
  <c r="B223" i="2"/>
  <c r="B211" i="2"/>
  <c r="B217" i="2" s="1"/>
  <c r="B252" i="2"/>
  <c r="B253" i="2" s="1"/>
  <c r="B261" i="2" s="1"/>
  <c r="B17" i="5"/>
  <c r="T551" i="5"/>
  <c r="T183" i="5"/>
  <c r="T460" i="5"/>
  <c r="T542" i="5"/>
  <c r="T381" i="5"/>
  <c r="T19" i="5"/>
  <c r="T234" i="5"/>
  <c r="T547" i="5"/>
  <c r="T54" i="5"/>
  <c r="T453" i="5"/>
  <c r="T367" i="5"/>
  <c r="T412" i="5"/>
  <c r="T529" i="5"/>
  <c r="T72" i="5"/>
  <c r="T357" i="5"/>
  <c r="T520" i="5"/>
  <c r="T322" i="5"/>
  <c r="T112" i="5"/>
  <c r="T397" i="5"/>
  <c r="T246" i="5"/>
  <c r="T44" i="5"/>
  <c r="T74" i="5"/>
  <c r="T469" i="5"/>
  <c r="T90" i="5"/>
  <c r="T293" i="5"/>
  <c r="T348" i="5"/>
  <c r="T501" i="5"/>
  <c r="T20" i="5"/>
  <c r="T484" i="5"/>
  <c r="T478" i="5"/>
  <c r="T149" i="5"/>
  <c r="T431" i="5"/>
  <c r="T239" i="5"/>
  <c r="T494" i="5"/>
  <c r="T150" i="5"/>
  <c r="T226" i="5"/>
  <c r="T479" i="5"/>
  <c r="T266" i="5"/>
  <c r="T305" i="5"/>
  <c r="T425" i="5"/>
  <c r="T444" i="5"/>
  <c r="T265" i="5"/>
  <c r="T152" i="5"/>
  <c r="T185" i="5"/>
  <c r="T349" i="5"/>
  <c r="T51" i="5"/>
  <c r="T306" i="5"/>
  <c r="T85" i="5"/>
  <c r="T301" i="5"/>
  <c r="T289" i="5"/>
  <c r="T418" i="5"/>
  <c r="T144" i="5"/>
  <c r="T86" i="5"/>
  <c r="T325" i="5"/>
  <c r="T528" i="5"/>
  <c r="T22" i="5"/>
  <c r="T122" i="5"/>
  <c r="T445" i="5"/>
  <c r="T264" i="5"/>
  <c r="T416" i="5"/>
  <c r="T423" i="5"/>
  <c r="T299" i="5"/>
  <c r="T326" i="5"/>
  <c r="T205" i="5"/>
  <c r="T260" i="5"/>
  <c r="T553" i="5"/>
  <c r="T368" i="5"/>
  <c r="T140" i="5"/>
  <c r="T225" i="5"/>
  <c r="T62" i="5"/>
  <c r="T272" i="5"/>
  <c r="T228" i="5"/>
  <c r="T193" i="5"/>
  <c r="T385" i="5"/>
  <c r="T498" i="5"/>
  <c r="T40" i="5"/>
  <c r="T71" i="5"/>
  <c r="T429" i="5"/>
  <c r="T26" i="5"/>
  <c r="T109" i="5"/>
  <c r="T99" i="5"/>
  <c r="T526" i="5"/>
  <c r="T241" i="5"/>
  <c r="T536" i="5"/>
  <c r="T387" i="5"/>
  <c r="T540" i="5"/>
  <c r="T436" i="5"/>
  <c r="T447" i="5"/>
  <c r="T267" i="5"/>
  <c r="T139" i="5"/>
  <c r="T63" i="5"/>
  <c r="T504" i="5"/>
  <c r="T330" i="5"/>
  <c r="T118" i="5"/>
  <c r="T101" i="5"/>
  <c r="T344" i="5"/>
  <c r="T440" i="5"/>
  <c r="T34" i="5"/>
  <c r="T401" i="5"/>
  <c r="T463" i="5"/>
  <c r="T121" i="5"/>
  <c r="T358" i="5"/>
  <c r="T386" i="5"/>
  <c r="T457" i="5"/>
  <c r="T52" i="5"/>
  <c r="T319" i="5"/>
  <c r="T370" i="5"/>
  <c r="T97" i="5"/>
  <c r="T251" i="5"/>
  <c r="T166" i="5"/>
  <c r="T464" i="5"/>
  <c r="T335" i="5"/>
  <c r="T177" i="5"/>
  <c r="T207" i="5"/>
  <c r="T413" i="5"/>
  <c r="T259" i="5"/>
  <c r="T56" i="5"/>
  <c r="T300" i="5"/>
  <c r="T393" i="5"/>
  <c r="T345" i="5"/>
  <c r="T255" i="5"/>
  <c r="T117" i="5"/>
  <c r="T158" i="5"/>
  <c r="T184" i="5"/>
  <c r="T458" i="5"/>
  <c r="T433" i="5"/>
  <c r="T511" i="5"/>
  <c r="T363" i="5"/>
  <c r="T283" i="5"/>
  <c r="T545" i="5"/>
  <c r="T373" i="5"/>
  <c r="T400" i="5"/>
  <c r="T43" i="5"/>
  <c r="T538" i="5"/>
  <c r="T107" i="5"/>
  <c r="T380" i="5"/>
  <c r="T83" i="5"/>
  <c r="T315" i="5"/>
  <c r="T270" i="5"/>
  <c r="T240" i="5"/>
  <c r="T79" i="5"/>
  <c r="T422" i="5"/>
  <c r="T235" i="5"/>
  <c r="T435" i="5"/>
  <c r="T76" i="5"/>
  <c r="T210" i="5"/>
  <c r="T336" i="5"/>
  <c r="T68" i="5"/>
  <c r="T134" i="5"/>
  <c r="T307" i="5"/>
  <c r="T512" i="5"/>
  <c r="T75" i="5"/>
  <c r="T290" i="5"/>
  <c r="T509" i="5"/>
  <c r="T156" i="5"/>
  <c r="T70" i="5"/>
  <c r="T157" i="5"/>
  <c r="T353" i="5"/>
  <c r="T544" i="5"/>
  <c r="T388" i="5"/>
  <c r="T292" i="5"/>
  <c r="T500" i="5"/>
  <c r="T115" i="5"/>
  <c r="T39" i="5"/>
  <c r="T555" i="5"/>
  <c r="T194" i="5"/>
  <c r="T317" i="5"/>
  <c r="T142" i="5"/>
  <c r="T128" i="5"/>
  <c r="T516" i="5"/>
  <c r="T104" i="5"/>
  <c r="T284" i="5"/>
  <c r="T137" i="5"/>
  <c r="T91" i="5"/>
  <c r="T147" i="5"/>
  <c r="T220" i="5"/>
  <c r="T248" i="5"/>
  <c r="T421" i="5"/>
  <c r="T145" i="5"/>
  <c r="T57" i="5"/>
  <c r="T310" i="5"/>
  <c r="T250" i="5"/>
  <c r="T371" i="5"/>
  <c r="T316" i="5"/>
  <c r="T261" i="5"/>
  <c r="T441" i="5"/>
  <c r="T169" i="5"/>
  <c r="T197" i="5"/>
  <c r="T143" i="5"/>
  <c r="T450" i="5"/>
  <c r="T133" i="5"/>
  <c r="T298" i="5"/>
  <c r="T382" i="5"/>
  <c r="T12" i="5"/>
  <c r="T372" i="5"/>
  <c r="T482" i="5"/>
  <c r="T560" i="5"/>
  <c r="T546" i="5"/>
  <c r="T195" i="5"/>
  <c r="T219" i="5"/>
  <c r="T13" i="5"/>
  <c r="T186" i="5"/>
  <c r="T531" i="5"/>
  <c r="T475" i="5"/>
  <c r="T361" i="5"/>
  <c r="T153" i="5"/>
  <c r="T303" i="5"/>
  <c r="T334" i="5"/>
  <c r="T359" i="5"/>
  <c r="T64" i="5"/>
  <c r="T487" i="5"/>
  <c r="T89" i="5"/>
  <c r="T258" i="5"/>
  <c r="T452" i="5"/>
  <c r="T503" i="5"/>
  <c r="T517" i="5"/>
  <c r="T174" i="5"/>
  <c r="T61" i="5"/>
  <c r="T84" i="5"/>
  <c r="T329" i="5"/>
  <c r="T524" i="5"/>
  <c r="T141" i="5"/>
  <c r="T111" i="5"/>
  <c r="T32" i="5"/>
  <c r="T276" i="5"/>
  <c r="T554" i="5"/>
  <c r="T309" i="5"/>
  <c r="T420" i="5"/>
  <c r="T408" i="5"/>
  <c r="T31" i="5"/>
  <c r="T311" i="5"/>
  <c r="T80" i="5"/>
  <c r="T530" i="5"/>
  <c r="T493" i="5"/>
  <c r="T114" i="5"/>
  <c r="T507" i="5"/>
  <c r="T377" i="5"/>
  <c r="T428" i="5"/>
  <c r="T282" i="5"/>
  <c r="T375" i="5"/>
  <c r="T53" i="5"/>
  <c r="T291" i="5"/>
  <c r="T398" i="5"/>
  <c r="T125" i="5"/>
  <c r="T213" i="5"/>
  <c r="T120" i="5"/>
  <c r="T485" i="5"/>
  <c r="T295" i="5"/>
  <c r="T394" i="5"/>
  <c r="T502" i="5"/>
  <c r="T476" i="5"/>
  <c r="T486" i="5"/>
  <c r="T473" i="5"/>
  <c r="T548" i="5"/>
  <c r="T256" i="5"/>
  <c r="T496" i="5"/>
  <c r="T202" i="5"/>
  <c r="T442" i="5"/>
  <c r="T461" i="5"/>
  <c r="T201" i="5"/>
  <c r="T58" i="5"/>
  <c r="T94" i="5"/>
  <c r="T439" i="5"/>
  <c r="T297" i="5"/>
  <c r="T8" i="5"/>
  <c r="T506" i="5"/>
  <c r="T495" i="5"/>
  <c r="T66" i="5"/>
  <c r="T253" i="5"/>
  <c r="T50" i="5"/>
  <c r="T533" i="5"/>
  <c r="T341" i="5"/>
  <c r="T41" i="5"/>
  <c r="T249" i="5"/>
  <c r="T154" i="5"/>
  <c r="T224" i="5"/>
  <c r="T163" i="5"/>
  <c r="T38" i="5"/>
  <c r="T350" i="5"/>
  <c r="T338" i="5"/>
  <c r="T216" i="5"/>
  <c r="T351" i="5"/>
  <c r="T314" i="5"/>
  <c r="T218" i="5"/>
  <c r="T189" i="5"/>
  <c r="T312" i="5"/>
  <c r="T227" i="5"/>
  <c r="T399" i="5"/>
  <c r="T281" i="5"/>
  <c r="T232" i="5"/>
  <c r="T424" i="5"/>
  <c r="T522" i="5"/>
  <c r="T384" i="5"/>
  <c r="T263" i="5"/>
  <c r="T247" i="5"/>
  <c r="T396" i="5"/>
  <c r="T535" i="5"/>
  <c r="T102" i="5"/>
  <c r="T470" i="5"/>
  <c r="T419" i="5"/>
  <c r="T356" i="5"/>
  <c r="T462" i="5"/>
  <c r="T320" i="5"/>
  <c r="T468" i="5"/>
  <c r="T28" i="5"/>
  <c r="T467" i="5"/>
  <c r="T410" i="5"/>
  <c r="T481" i="5"/>
  <c r="T151" i="5"/>
  <c r="T81" i="5"/>
  <c r="T489" i="5"/>
  <c r="T176" i="5"/>
  <c r="T323" i="5"/>
  <c r="T355" i="5"/>
  <c r="T98" i="5"/>
  <c r="T532" i="5"/>
  <c r="T116" i="5"/>
  <c r="T178" i="5"/>
  <c r="T164" i="5"/>
  <c r="T543" i="5"/>
  <c r="T296" i="5"/>
  <c r="T77" i="5"/>
  <c r="T477" i="5"/>
  <c r="T376" i="5"/>
  <c r="T558" i="5"/>
  <c r="T27" i="5"/>
  <c r="T404" i="5"/>
  <c r="T67" i="5"/>
  <c r="T559" i="5"/>
  <c r="T135" i="5"/>
  <c r="T437" i="5"/>
  <c r="T191" i="5"/>
  <c r="T187" i="5"/>
  <c r="T549" i="5"/>
  <c r="T552" i="5"/>
  <c r="T324" i="5"/>
  <c r="T365" i="5"/>
  <c r="T278" i="5"/>
  <c r="T273" i="5"/>
  <c r="T402" i="5"/>
  <c r="T378" i="5"/>
  <c r="T55" i="5"/>
  <c r="T229" i="5"/>
  <c r="T108" i="5"/>
  <c r="T362" i="5"/>
  <c r="T302" i="5"/>
  <c r="T347" i="5"/>
  <c r="T406" i="5"/>
  <c r="T119" i="5"/>
  <c r="T374" i="5"/>
  <c r="T230" i="5"/>
  <c r="T136" i="5"/>
  <c r="T515" i="5"/>
  <c r="T285" i="5"/>
  <c r="T455" i="5"/>
  <c r="T288" i="5"/>
  <c r="T466" i="5"/>
  <c r="T126" i="5"/>
  <c r="T451" i="5"/>
  <c r="T130" i="5"/>
  <c r="T217" i="5"/>
  <c r="T242" i="5"/>
  <c r="T238" i="5"/>
  <c r="T160" i="5"/>
  <c r="T82" i="5"/>
  <c r="T497" i="5"/>
  <c r="T252" i="5"/>
  <c r="T245" i="5"/>
  <c r="T93" i="5"/>
  <c r="T30" i="5"/>
  <c r="T557" i="5"/>
  <c r="T215" i="5"/>
  <c r="T346" i="5"/>
  <c r="T148" i="5"/>
  <c r="T179" i="5"/>
  <c r="T170" i="5"/>
  <c r="T106" i="5"/>
  <c r="T167" i="5"/>
  <c r="T449" i="5"/>
  <c r="T446" i="5"/>
  <c r="T212" i="5"/>
  <c r="T279" i="5"/>
  <c r="T223" i="5"/>
  <c r="T124" i="5"/>
  <c r="B187" i="2"/>
  <c r="H88" i="1" s="1"/>
  <c r="B254" i="2"/>
  <c r="B255" i="2" s="1"/>
  <c r="B75" i="5"/>
  <c r="AM37" i="5" s="1"/>
  <c r="B220" i="2"/>
  <c r="B132" i="2"/>
  <c r="H54" i="1" s="1"/>
  <c r="B135" i="2"/>
  <c r="B138" i="2" s="1"/>
  <c r="H58" i="1" s="1"/>
  <c r="B122" i="2"/>
  <c r="B123" i="2" s="1"/>
  <c r="H48" i="1" s="1"/>
  <c r="T244" i="5" l="1"/>
  <c r="T499" i="5"/>
  <c r="T379" i="5"/>
  <c r="T146" i="5"/>
  <c r="T171" i="5"/>
  <c r="T395" i="5"/>
  <c r="U395" i="5" s="1"/>
  <c r="T327" i="5"/>
  <c r="T333" i="5"/>
  <c r="V333" i="5" s="1"/>
  <c r="T492" i="5"/>
  <c r="T60" i="5"/>
  <c r="T415" i="5"/>
  <c r="T508" i="5"/>
  <c r="T161" i="5"/>
  <c r="U161" i="5" s="1"/>
  <c r="T539" i="5"/>
  <c r="T33" i="5"/>
  <c r="U33" i="5" s="1"/>
  <c r="T25" i="5"/>
  <c r="V25" i="5" s="1"/>
  <c r="T73" i="5"/>
  <c r="T123" i="5"/>
  <c r="T103" i="5"/>
  <c r="T49" i="5"/>
  <c r="T308" i="5"/>
  <c r="U308" i="5" s="1"/>
  <c r="T391" i="5"/>
  <c r="U391" i="5" s="1"/>
  <c r="T199" i="5"/>
  <c r="V199" i="5" s="1"/>
  <c r="T369" i="5"/>
  <c r="U369" i="5" s="1"/>
  <c r="T196" i="5"/>
  <c r="T24" i="5"/>
  <c r="T110" i="5"/>
  <c r="T407" i="5"/>
  <c r="T405" i="5"/>
  <c r="U405" i="5" s="1"/>
  <c r="T513" i="5"/>
  <c r="U513" i="5" s="1"/>
  <c r="T168" i="5"/>
  <c r="T340" i="5"/>
  <c r="U340" i="5" s="1"/>
  <c r="T488" i="5"/>
  <c r="T236" i="5"/>
  <c r="T181" i="5"/>
  <c r="T403" i="5"/>
  <c r="T525" i="5"/>
  <c r="V525" i="5" s="1"/>
  <c r="T527" i="5"/>
  <c r="U527" i="5" s="1"/>
  <c r="T190" i="5"/>
  <c r="V190" i="5" s="1"/>
  <c r="T337" i="5"/>
  <c r="V337" i="5" s="1"/>
  <c r="T280" i="5"/>
  <c r="T172" i="5"/>
  <c r="T443" i="5"/>
  <c r="T233" i="5"/>
  <c r="T203" i="5"/>
  <c r="U203" i="5" s="1"/>
  <c r="T274" i="5"/>
  <c r="V274" i="5" s="1"/>
  <c r="T471" i="5"/>
  <c r="U471" i="5" s="1"/>
  <c r="T277" i="5"/>
  <c r="V277" i="5" s="1"/>
  <c r="T474" i="5"/>
  <c r="T556" i="5"/>
  <c r="T392" i="5"/>
  <c r="T490" i="5"/>
  <c r="T65" i="5"/>
  <c r="T46" i="5"/>
  <c r="U46" i="5" s="1"/>
  <c r="T354" i="5"/>
  <c r="U354" i="5" s="1"/>
  <c r="T173" i="5"/>
  <c r="U173" i="5" s="1"/>
  <c r="T209" i="5"/>
  <c r="T45" i="5"/>
  <c r="T87" i="5"/>
  <c r="T448" i="5"/>
  <c r="T105" i="5"/>
  <c r="V105" i="5" s="1"/>
  <c r="T36" i="5"/>
  <c r="V36" i="5" s="1"/>
  <c r="T211" i="5"/>
  <c r="U211" i="5" s="1"/>
  <c r="T88" i="5"/>
  <c r="V88" i="5" s="1"/>
  <c r="T243" i="5"/>
  <c r="T432" i="5"/>
  <c r="T257" i="5"/>
  <c r="T200" i="5"/>
  <c r="T518" i="5"/>
  <c r="T318" i="5"/>
  <c r="T35" i="5"/>
  <c r="T208" i="5"/>
  <c r="V208" i="5" s="1"/>
  <c r="T180" i="5"/>
  <c r="T366" i="5"/>
  <c r="T331" i="5"/>
  <c r="T343" i="5"/>
  <c r="T426" i="5"/>
  <c r="T541" i="5"/>
  <c r="T95" i="5"/>
  <c r="T100" i="5"/>
  <c r="V100" i="5" s="1"/>
  <c r="T271" i="5"/>
  <c r="T411" i="5"/>
  <c r="T510" i="5"/>
  <c r="T237" i="5"/>
  <c r="T275" i="5"/>
  <c r="T47" i="5"/>
  <c r="T472" i="5"/>
  <c r="T454" i="5"/>
  <c r="V454" i="5" s="1"/>
  <c r="T175" i="5"/>
  <c r="T339" i="5"/>
  <c r="T21" i="5"/>
  <c r="T332" i="5"/>
  <c r="T78" i="5"/>
  <c r="V78" i="5" s="1"/>
  <c r="T313" i="5"/>
  <c r="U313" i="5" s="1"/>
  <c r="T389" i="5"/>
  <c r="T480" i="5"/>
  <c r="U480" i="5" s="1"/>
  <c r="T352" i="5"/>
  <c r="T304" i="5"/>
  <c r="T414" i="5"/>
  <c r="T505" i="5"/>
  <c r="T23" i="5"/>
  <c r="U23" i="5" s="1"/>
  <c r="T360" i="5"/>
  <c r="V360" i="5" s="1"/>
  <c r="T383" i="5"/>
  <c r="U383" i="5" s="1"/>
  <c r="T537" i="5"/>
  <c r="U537" i="5" s="1"/>
  <c r="T287" i="5"/>
  <c r="T286" i="5"/>
  <c r="T438" i="5"/>
  <c r="T417" i="5"/>
  <c r="T127" i="5"/>
  <c r="U127" i="5" s="1"/>
  <c r="T113" i="5"/>
  <c r="U113" i="5" s="1"/>
  <c r="T155" i="5"/>
  <c r="T96" i="5"/>
  <c r="U96" i="5" s="1"/>
  <c r="T465" i="5"/>
  <c r="T342" i="5"/>
  <c r="T459" i="5"/>
  <c r="B46" i="5"/>
  <c r="T221" i="5"/>
  <c r="V221" i="5" s="1"/>
  <c r="T364" i="5"/>
  <c r="U364" i="5" s="1"/>
  <c r="T138" i="5"/>
  <c r="T48" i="5"/>
  <c r="V48" i="5" s="1"/>
  <c r="T222" i="5"/>
  <c r="T483" i="5"/>
  <c r="T456" i="5"/>
  <c r="T550" i="5"/>
  <c r="T92" i="5"/>
  <c r="U92" i="5" s="1"/>
  <c r="T231" i="5"/>
  <c r="V231" i="5" s="1"/>
  <c r="T409" i="5"/>
  <c r="V409" i="5" s="1"/>
  <c r="T162" i="5"/>
  <c r="V162" i="5" s="1"/>
  <c r="T521" i="5"/>
  <c r="T328" i="5"/>
  <c r="T159" i="5"/>
  <c r="T188" i="5"/>
  <c r="T321" i="5"/>
  <c r="U321" i="5" s="1"/>
  <c r="T182" i="5"/>
  <c r="U182" i="5" s="1"/>
  <c r="T268" i="5"/>
  <c r="U268" i="5" s="1"/>
  <c r="T434" i="5"/>
  <c r="U434" i="5" s="1"/>
  <c r="T69" i="5"/>
  <c r="V69" i="5" s="1"/>
  <c r="T165" i="5"/>
  <c r="T519" i="5"/>
  <c r="T427" i="5"/>
  <c r="T198" i="5"/>
  <c r="U198" i="5" s="1"/>
  <c r="T269" i="5"/>
  <c r="V269" i="5" s="1"/>
  <c r="T132" i="5"/>
  <c r="U132" i="5" s="1"/>
  <c r="T294" i="5"/>
  <c r="V294" i="5" s="1"/>
  <c r="T204" i="5"/>
  <c r="V204" i="5" s="1"/>
  <c r="T206" i="5"/>
  <c r="U206" i="5" s="1"/>
  <c r="T29" i="5"/>
  <c r="V29" i="5" s="1"/>
  <c r="T192" i="5"/>
  <c r="T491" i="5"/>
  <c r="V491" i="5" s="1"/>
  <c r="T514" i="5"/>
  <c r="U514" i="5" s="1"/>
  <c r="T129" i="5"/>
  <c r="U129" i="5" s="1"/>
  <c r="T214" i="5"/>
  <c r="V214" i="5" s="1"/>
  <c r="T254" i="5"/>
  <c r="U254" i="5" s="1"/>
  <c r="T42" i="5"/>
  <c r="U42" i="5" s="1"/>
  <c r="T59" i="5"/>
  <c r="U59" i="5" s="1"/>
  <c r="T430" i="5"/>
  <c r="T534" i="5"/>
  <c r="T131" i="5"/>
  <c r="T523" i="5"/>
  <c r="T262" i="5"/>
  <c r="U262" i="5" s="1"/>
  <c r="T390" i="5"/>
  <c r="V37" i="5"/>
  <c r="AO37" i="5"/>
  <c r="AN37" i="5"/>
  <c r="S154" i="4"/>
  <c r="U154" i="4" s="1"/>
  <c r="S61" i="4"/>
  <c r="AV61" i="4" s="1"/>
  <c r="S127" i="4"/>
  <c r="U127" i="4" s="1"/>
  <c r="S150" i="4"/>
  <c r="U150" i="4" s="1"/>
  <c r="S73" i="4"/>
  <c r="U73" i="4" s="1"/>
  <c r="S9" i="4"/>
  <c r="AV9" i="4" s="1"/>
  <c r="S11" i="4"/>
  <c r="U11" i="4" s="1"/>
  <c r="S42" i="4"/>
  <c r="U42" i="4" s="1"/>
  <c r="S84" i="4"/>
  <c r="U84" i="4" s="1"/>
  <c r="S90" i="4"/>
  <c r="V90" i="4" s="1"/>
  <c r="S120" i="4"/>
  <c r="U120" i="4" s="1"/>
  <c r="S45" i="4"/>
  <c r="AV45" i="4" s="1"/>
  <c r="S57" i="4"/>
  <c r="U57" i="4" s="1"/>
  <c r="S77" i="4"/>
  <c r="V77" i="4" s="1"/>
  <c r="S138" i="4"/>
  <c r="U138" i="4" s="1"/>
  <c r="S111" i="4"/>
  <c r="U111" i="4" s="1"/>
  <c r="S49" i="4"/>
  <c r="U49" i="4" s="1"/>
  <c r="S121" i="4"/>
  <c r="AV121" i="4" s="1"/>
  <c r="S157" i="4"/>
  <c r="AV157" i="4" s="1"/>
  <c r="S117" i="4"/>
  <c r="U117" i="4" s="1"/>
  <c r="S15" i="4"/>
  <c r="V15" i="4" s="1"/>
  <c r="S155" i="4"/>
  <c r="U155" i="4" s="1"/>
  <c r="S50" i="4"/>
  <c r="AV50" i="4" s="1"/>
  <c r="S70" i="4"/>
  <c r="AV70" i="4" s="1"/>
  <c r="S80" i="4"/>
  <c r="AV80" i="4" s="1"/>
  <c r="S43" i="4"/>
  <c r="U43" i="4" s="1"/>
  <c r="S118" i="4"/>
  <c r="U118" i="4" s="1"/>
  <c r="S91" i="4"/>
  <c r="U91" i="4" s="1"/>
  <c r="S113" i="4"/>
  <c r="U113" i="4" s="1"/>
  <c r="S18" i="4"/>
  <c r="V18" i="4" s="1"/>
  <c r="S86" i="4"/>
  <c r="U86" i="4" s="1"/>
  <c r="S112" i="4"/>
  <c r="AV112" i="4" s="1"/>
  <c r="S54" i="4"/>
  <c r="V54" i="4" s="1"/>
  <c r="S153" i="4"/>
  <c r="V153" i="4" s="1"/>
  <c r="S88" i="4"/>
  <c r="AV88" i="4" s="1"/>
  <c r="S74" i="4"/>
  <c r="U74" i="4" s="1"/>
  <c r="S38" i="4"/>
  <c r="U38" i="4" s="1"/>
  <c r="S26" i="4"/>
  <c r="V26" i="4" s="1"/>
  <c r="S89" i="4"/>
  <c r="U89" i="4" s="1"/>
  <c r="S10" i="4"/>
  <c r="AV10" i="4" s="1"/>
  <c r="S22" i="4"/>
  <c r="U22" i="4" s="1"/>
  <c r="S30" i="4"/>
  <c r="V30" i="4" s="1"/>
  <c r="S123" i="4"/>
  <c r="AV123" i="4" s="1"/>
  <c r="S71" i="4"/>
  <c r="U71" i="4" s="1"/>
  <c r="S60" i="4"/>
  <c r="U60" i="4" s="1"/>
  <c r="S101" i="4"/>
  <c r="U101" i="4" s="1"/>
  <c r="S119" i="4"/>
  <c r="U119" i="4" s="1"/>
  <c r="S105" i="4"/>
  <c r="AV105" i="4" s="1"/>
  <c r="S66" i="4"/>
  <c r="U66" i="4" s="1"/>
  <c r="S96" i="4"/>
  <c r="U96" i="4" s="1"/>
  <c r="S130" i="4"/>
  <c r="U130" i="4" s="1"/>
  <c r="S75" i="4"/>
  <c r="U75" i="4" s="1"/>
  <c r="S20" i="4"/>
  <c r="U20" i="4" s="1"/>
  <c r="S37" i="4"/>
  <c r="V37" i="4" s="1"/>
  <c r="S140" i="4"/>
  <c r="V140" i="4" s="1"/>
  <c r="S35" i="4"/>
  <c r="U35" i="4" s="1"/>
  <c r="S129" i="4"/>
  <c r="V129" i="4" s="1"/>
  <c r="S134" i="4"/>
  <c r="U134" i="4" s="1"/>
  <c r="S33" i="4"/>
  <c r="V33" i="4" s="1"/>
  <c r="S29" i="4"/>
  <c r="AV29" i="4" s="1"/>
  <c r="S144" i="4"/>
  <c r="U144" i="4" s="1"/>
  <c r="S114" i="4"/>
  <c r="AV114" i="4" s="1"/>
  <c r="S23" i="4"/>
  <c r="U23" i="4" s="1"/>
  <c r="S97" i="4"/>
  <c r="U97" i="4" s="1"/>
  <c r="S12" i="4"/>
  <c r="U12" i="4" s="1"/>
  <c r="S19" i="4"/>
  <c r="V19" i="4" s="1"/>
  <c r="S137" i="4"/>
  <c r="V137" i="4" s="1"/>
  <c r="S110" i="4"/>
  <c r="AV110" i="4" s="1"/>
  <c r="S151" i="4"/>
  <c r="U151" i="4" s="1"/>
  <c r="S148" i="4"/>
  <c r="V148" i="4" s="1"/>
  <c r="S107" i="4"/>
  <c r="U107" i="4" s="1"/>
  <c r="S64" i="4"/>
  <c r="U64" i="4" s="1"/>
  <c r="S36" i="4"/>
  <c r="AV36" i="4" s="1"/>
  <c r="S21" i="4"/>
  <c r="V21" i="4" s="1"/>
  <c r="S125" i="4"/>
  <c r="AV125" i="4" s="1"/>
  <c r="S34" i="4"/>
  <c r="U34" i="4" s="1"/>
  <c r="S149" i="4"/>
  <c r="U149" i="4" s="1"/>
  <c r="S7" i="4"/>
  <c r="U7" i="4" s="1"/>
  <c r="S63" i="4"/>
  <c r="V63" i="4" s="1"/>
  <c r="S72" i="4"/>
  <c r="U72" i="4" s="1"/>
  <c r="S87" i="4"/>
  <c r="U87" i="4" s="1"/>
  <c r="S62" i="4"/>
  <c r="U62" i="4" s="1"/>
  <c r="S92" i="4"/>
  <c r="AV92" i="4" s="1"/>
  <c r="S135" i="4"/>
  <c r="U135" i="4" s="1"/>
  <c r="S106" i="4"/>
  <c r="AV106" i="4" s="1"/>
  <c r="S133" i="4"/>
  <c r="U133" i="4" s="1"/>
  <c r="S103" i="4"/>
  <c r="U103" i="4" s="1"/>
  <c r="S131" i="4"/>
  <c r="AV131" i="4" s="1"/>
  <c r="S69" i="4"/>
  <c r="U69" i="4" s="1"/>
  <c r="S39" i="4"/>
  <c r="AV39" i="4" s="1"/>
  <c r="S59" i="4"/>
  <c r="U59" i="4" s="1"/>
  <c r="S41" i="4"/>
  <c r="V41" i="4" s="1"/>
  <c r="S68" i="4"/>
  <c r="V68" i="4" s="1"/>
  <c r="S100" i="4"/>
  <c r="AV100" i="4" s="1"/>
  <c r="S13" i="4"/>
  <c r="V13" i="4" s="1"/>
  <c r="S152" i="4"/>
  <c r="U152" i="4" s="1"/>
  <c r="S47" i="4"/>
  <c r="AV47" i="4" s="1"/>
  <c r="S109" i="4"/>
  <c r="V109" i="4" s="1"/>
  <c r="S28" i="4"/>
  <c r="U28" i="4" s="1"/>
  <c r="S104" i="4"/>
  <c r="U104" i="4" s="1"/>
  <c r="S82" i="4"/>
  <c r="U82" i="4" s="1"/>
  <c r="S115" i="4"/>
  <c r="U115" i="4" s="1"/>
  <c r="S132" i="4"/>
  <c r="U132" i="4" s="1"/>
  <c r="S32" i="4"/>
  <c r="V32" i="4" s="1"/>
  <c r="S122" i="4"/>
  <c r="U122" i="4" s="1"/>
  <c r="S81" i="4"/>
  <c r="U81" i="4" s="1"/>
  <c r="S147" i="4"/>
  <c r="U147" i="4" s="1"/>
  <c r="S53" i="4"/>
  <c r="U53" i="4" s="1"/>
  <c r="S136" i="4"/>
  <c r="V136" i="4" s="1"/>
  <c r="S126" i="4"/>
  <c r="U126" i="4" s="1"/>
  <c r="S58" i="4"/>
  <c r="AV58" i="4" s="1"/>
  <c r="S78" i="4"/>
  <c r="V78" i="4" s="1"/>
  <c r="S93" i="4"/>
  <c r="U93" i="4" s="1"/>
  <c r="S156" i="4"/>
  <c r="U156" i="4" s="1"/>
  <c r="S14" i="4"/>
  <c r="U14" i="4" s="1"/>
  <c r="S98" i="4"/>
  <c r="U98" i="4" s="1"/>
  <c r="S55" i="4"/>
  <c r="U55" i="4" s="1"/>
  <c r="S27" i="4"/>
  <c r="U27" i="4" s="1"/>
  <c r="S146" i="4"/>
  <c r="U146" i="4" s="1"/>
  <c r="S79" i="4"/>
  <c r="AV79" i="4" s="1"/>
  <c r="S16" i="4"/>
  <c r="U16" i="4" s="1"/>
  <c r="S94" i="4"/>
  <c r="U94" i="4" s="1"/>
  <c r="S143" i="4"/>
  <c r="U143" i="4" s="1"/>
  <c r="S141" i="4"/>
  <c r="U141" i="4" s="1"/>
  <c r="S76" i="4"/>
  <c r="V76" i="4" s="1"/>
  <c r="S139" i="4"/>
  <c r="U139" i="4" s="1"/>
  <c r="S124" i="4"/>
  <c r="U124" i="4" s="1"/>
  <c r="S56" i="4"/>
  <c r="U56" i="4" s="1"/>
  <c r="S83" i="4"/>
  <c r="U83" i="4" s="1"/>
  <c r="S31" i="4"/>
  <c r="U31" i="4" s="1"/>
  <c r="S145" i="4"/>
  <c r="U145" i="4" s="1"/>
  <c r="S128" i="4"/>
  <c r="V128" i="4" s="1"/>
  <c r="S24" i="4"/>
  <c r="U24" i="4" s="1"/>
  <c r="S48" i="4"/>
  <c r="U48" i="4" s="1"/>
  <c r="S99" i="4"/>
  <c r="U99" i="4" s="1"/>
  <c r="S17" i="4"/>
  <c r="V17" i="4" s="1"/>
  <c r="S8" i="4"/>
  <c r="U8" i="4" s="1"/>
  <c r="S65" i="4"/>
  <c r="AV65" i="4" s="1"/>
  <c r="S46" i="4"/>
  <c r="AV46" i="4" s="1"/>
  <c r="S44" i="4"/>
  <c r="AV44" i="4" s="1"/>
  <c r="S102" i="4"/>
  <c r="U102" i="4" s="1"/>
  <c r="S108" i="4"/>
  <c r="U108" i="4" s="1"/>
  <c r="S67" i="4"/>
  <c r="V67" i="4" s="1"/>
  <c r="S25" i="4"/>
  <c r="U25" i="4" s="1"/>
  <c r="S142" i="4"/>
  <c r="V142" i="4" s="1"/>
  <c r="S85" i="4"/>
  <c r="AV85" i="4" s="1"/>
  <c r="S52" i="4"/>
  <c r="AV52" i="4" s="1"/>
  <c r="S40" i="4"/>
  <c r="U40" i="4" s="1"/>
  <c r="S116" i="4"/>
  <c r="V116" i="4" s="1"/>
  <c r="S95" i="4"/>
  <c r="AV95" i="4" s="1"/>
  <c r="X37" i="5"/>
  <c r="Y37" i="5"/>
  <c r="B215" i="2"/>
  <c r="P7" i="5" s="1"/>
  <c r="U449" i="5"/>
  <c r="V449" i="5"/>
  <c r="U212" i="5"/>
  <c r="V212" i="5"/>
  <c r="U346" i="5"/>
  <c r="V346" i="5"/>
  <c r="V82" i="5"/>
  <c r="U82" i="5"/>
  <c r="U466" i="5"/>
  <c r="V466" i="5"/>
  <c r="U119" i="5"/>
  <c r="V119" i="5"/>
  <c r="U378" i="5"/>
  <c r="V378" i="5"/>
  <c r="U187" i="5"/>
  <c r="V187" i="5"/>
  <c r="U558" i="5"/>
  <c r="V558" i="5"/>
  <c r="V116" i="5"/>
  <c r="U116" i="5"/>
  <c r="U151" i="5"/>
  <c r="V151" i="5"/>
  <c r="V356" i="5"/>
  <c r="U356" i="5"/>
  <c r="U384" i="5"/>
  <c r="V384" i="5"/>
  <c r="U189" i="5"/>
  <c r="V189" i="5"/>
  <c r="V163" i="5"/>
  <c r="U163" i="5"/>
  <c r="V253" i="5"/>
  <c r="U253" i="5"/>
  <c r="U58" i="5"/>
  <c r="V58" i="5"/>
  <c r="V473" i="5"/>
  <c r="U473" i="5"/>
  <c r="V213" i="5"/>
  <c r="U213" i="5"/>
  <c r="U377" i="5"/>
  <c r="V377" i="5"/>
  <c r="U408" i="5"/>
  <c r="V408" i="5"/>
  <c r="V524" i="5"/>
  <c r="U524" i="5"/>
  <c r="U258" i="5"/>
  <c r="V258" i="5"/>
  <c r="U361" i="5"/>
  <c r="V361" i="5"/>
  <c r="U560" i="5"/>
  <c r="V560" i="5"/>
  <c r="U143" i="5"/>
  <c r="V143" i="5"/>
  <c r="V310" i="5"/>
  <c r="U310" i="5"/>
  <c r="U137" i="5"/>
  <c r="V137" i="5"/>
  <c r="U555" i="5"/>
  <c r="V555" i="5"/>
  <c r="U157" i="5"/>
  <c r="V157" i="5"/>
  <c r="U134" i="5"/>
  <c r="V134" i="5"/>
  <c r="U79" i="5"/>
  <c r="V79" i="5"/>
  <c r="U43" i="5"/>
  <c r="V43" i="5"/>
  <c r="U458" i="5"/>
  <c r="V458" i="5"/>
  <c r="V56" i="5"/>
  <c r="U56" i="5"/>
  <c r="V251" i="5"/>
  <c r="U251" i="5"/>
  <c r="U121" i="5"/>
  <c r="V121" i="5"/>
  <c r="V330" i="5"/>
  <c r="U330" i="5"/>
  <c r="V540" i="5"/>
  <c r="U540" i="5"/>
  <c r="V429" i="5"/>
  <c r="U429" i="5"/>
  <c r="U62" i="5"/>
  <c r="V62" i="5"/>
  <c r="U299" i="5"/>
  <c r="V299" i="5"/>
  <c r="U325" i="5"/>
  <c r="V325" i="5"/>
  <c r="U78" i="5"/>
  <c r="V313" i="5"/>
  <c r="V389" i="5"/>
  <c r="U389" i="5"/>
  <c r="U352" i="5"/>
  <c r="V352" i="5"/>
  <c r="V304" i="5"/>
  <c r="U304" i="5"/>
  <c r="V414" i="5"/>
  <c r="U414" i="5"/>
  <c r="V505" i="5"/>
  <c r="U505" i="5"/>
  <c r="U287" i="5"/>
  <c r="V287" i="5"/>
  <c r="V286" i="5"/>
  <c r="U286" i="5"/>
  <c r="U438" i="5"/>
  <c r="V438" i="5"/>
  <c r="U417" i="5"/>
  <c r="V417" i="5"/>
  <c r="V155" i="5"/>
  <c r="U155" i="5"/>
  <c r="U280" i="5"/>
  <c r="V280" i="5"/>
  <c r="U69" i="5"/>
  <c r="V381" i="5"/>
  <c r="U381" i="5"/>
  <c r="U49" i="5"/>
  <c r="V49" i="5"/>
  <c r="V459" i="5"/>
  <c r="U459" i="5"/>
  <c r="U200" i="5"/>
  <c r="V200" i="5"/>
  <c r="K96" i="2"/>
  <c r="B66" i="2"/>
  <c r="U170" i="5"/>
  <c r="V170" i="5"/>
  <c r="B221" i="2"/>
  <c r="T7" i="5"/>
  <c r="V446" i="5"/>
  <c r="U446" i="5"/>
  <c r="U215" i="5"/>
  <c r="V215" i="5"/>
  <c r="U160" i="5"/>
  <c r="V160" i="5"/>
  <c r="U288" i="5"/>
  <c r="V288" i="5"/>
  <c r="U406" i="5"/>
  <c r="V406" i="5"/>
  <c r="U402" i="5"/>
  <c r="V402" i="5"/>
  <c r="V191" i="5"/>
  <c r="U191" i="5"/>
  <c r="U376" i="5"/>
  <c r="V376" i="5"/>
  <c r="U532" i="5"/>
  <c r="V532" i="5"/>
  <c r="V481" i="5"/>
  <c r="U481" i="5"/>
  <c r="V419" i="5"/>
  <c r="U419" i="5"/>
  <c r="U522" i="5"/>
  <c r="V522" i="5"/>
  <c r="V218" i="5"/>
  <c r="U218" i="5"/>
  <c r="V224" i="5"/>
  <c r="U224" i="5"/>
  <c r="V66" i="5"/>
  <c r="U66" i="5"/>
  <c r="U201" i="5"/>
  <c r="V201" i="5"/>
  <c r="U486" i="5"/>
  <c r="V486" i="5"/>
  <c r="V125" i="5"/>
  <c r="U125" i="5"/>
  <c r="U507" i="5"/>
  <c r="V507" i="5"/>
  <c r="V420" i="5"/>
  <c r="U420" i="5"/>
  <c r="V329" i="5"/>
  <c r="U329" i="5"/>
  <c r="V89" i="5"/>
  <c r="U89" i="5"/>
  <c r="U475" i="5"/>
  <c r="V475" i="5"/>
  <c r="U482" i="5"/>
  <c r="V482" i="5"/>
  <c r="V197" i="5"/>
  <c r="U197" i="5"/>
  <c r="U57" i="5"/>
  <c r="V57" i="5"/>
  <c r="U284" i="5"/>
  <c r="V284" i="5"/>
  <c r="U39" i="5"/>
  <c r="V39" i="5"/>
  <c r="U70" i="5"/>
  <c r="V70" i="5"/>
  <c r="U68" i="5"/>
  <c r="V68" i="5"/>
  <c r="U240" i="5"/>
  <c r="V240" i="5"/>
  <c r="U400" i="5"/>
  <c r="V400" i="5"/>
  <c r="U184" i="5"/>
  <c r="V184" i="5"/>
  <c r="U259" i="5"/>
  <c r="V259" i="5"/>
  <c r="U97" i="5"/>
  <c r="V97" i="5"/>
  <c r="V463" i="5"/>
  <c r="U463" i="5"/>
  <c r="U387" i="5"/>
  <c r="V387" i="5"/>
  <c r="U71" i="5"/>
  <c r="V71" i="5"/>
  <c r="U225" i="5"/>
  <c r="V225" i="5"/>
  <c r="V423" i="5"/>
  <c r="U423" i="5"/>
  <c r="U86" i="5"/>
  <c r="V86" i="5"/>
  <c r="V138" i="5"/>
  <c r="U138" i="5"/>
  <c r="V222" i="5"/>
  <c r="U222" i="5"/>
  <c r="V483" i="5"/>
  <c r="U483" i="5"/>
  <c r="U456" i="5"/>
  <c r="V456" i="5"/>
  <c r="V550" i="5"/>
  <c r="U550" i="5"/>
  <c r="V521" i="5"/>
  <c r="U521" i="5"/>
  <c r="U328" i="5"/>
  <c r="V328" i="5"/>
  <c r="U159" i="5"/>
  <c r="V159" i="5"/>
  <c r="V188" i="5"/>
  <c r="U188" i="5"/>
  <c r="V268" i="5"/>
  <c r="V427" i="5"/>
  <c r="U427" i="5"/>
  <c r="V132" i="5"/>
  <c r="B266" i="2"/>
  <c r="B271" i="2" s="1"/>
  <c r="H17" i="1"/>
  <c r="H16" i="1"/>
  <c r="B304" i="2"/>
  <c r="B305" i="2"/>
  <c r="V557" i="5"/>
  <c r="U557" i="5"/>
  <c r="V238" i="5"/>
  <c r="U238" i="5"/>
  <c r="U455" i="5"/>
  <c r="V455" i="5"/>
  <c r="U347" i="5"/>
  <c r="V347" i="5"/>
  <c r="V273" i="5"/>
  <c r="U273" i="5"/>
  <c r="U437" i="5"/>
  <c r="V437" i="5"/>
  <c r="U477" i="5"/>
  <c r="V477" i="5"/>
  <c r="U98" i="5"/>
  <c r="V98" i="5"/>
  <c r="U410" i="5"/>
  <c r="V410" i="5"/>
  <c r="U470" i="5"/>
  <c r="V470" i="5"/>
  <c r="V424" i="5"/>
  <c r="U424" i="5"/>
  <c r="U314" i="5"/>
  <c r="V314" i="5"/>
  <c r="U154" i="5"/>
  <c r="V154" i="5"/>
  <c r="V495" i="5"/>
  <c r="U495" i="5"/>
  <c r="V461" i="5"/>
  <c r="U461" i="5"/>
  <c r="V476" i="5"/>
  <c r="U476" i="5"/>
  <c r="V398" i="5"/>
  <c r="U398" i="5"/>
  <c r="U114" i="5"/>
  <c r="V114" i="5"/>
  <c r="U309" i="5"/>
  <c r="V309" i="5"/>
  <c r="U84" i="5"/>
  <c r="V84" i="5"/>
  <c r="U487" i="5"/>
  <c r="V487" i="5"/>
  <c r="V531" i="5"/>
  <c r="U531" i="5"/>
  <c r="V372" i="5"/>
  <c r="U372" i="5"/>
  <c r="U169" i="5"/>
  <c r="V169" i="5"/>
  <c r="U145" i="5"/>
  <c r="V145" i="5"/>
  <c r="V104" i="5"/>
  <c r="U104" i="5"/>
  <c r="U115" i="5"/>
  <c r="V115" i="5"/>
  <c r="U156" i="5"/>
  <c r="V156" i="5"/>
  <c r="V336" i="5"/>
  <c r="U336" i="5"/>
  <c r="V270" i="5"/>
  <c r="U270" i="5"/>
  <c r="U373" i="5"/>
  <c r="V373" i="5"/>
  <c r="V158" i="5"/>
  <c r="U158" i="5"/>
  <c r="V413" i="5"/>
  <c r="U413" i="5"/>
  <c r="U370" i="5"/>
  <c r="V370" i="5"/>
  <c r="V401" i="5"/>
  <c r="U401" i="5"/>
  <c r="V504" i="5"/>
  <c r="U504" i="5"/>
  <c r="V536" i="5"/>
  <c r="U536" i="5"/>
  <c r="U40" i="5"/>
  <c r="V40" i="5"/>
  <c r="V140" i="5"/>
  <c r="U140" i="5"/>
  <c r="V416" i="5"/>
  <c r="U416" i="5"/>
  <c r="V144" i="5"/>
  <c r="U144" i="5"/>
  <c r="V85" i="5"/>
  <c r="U85" i="5"/>
  <c r="U349" i="5"/>
  <c r="V349" i="5"/>
  <c r="U265" i="5"/>
  <c r="V265" i="5"/>
  <c r="U425" i="5"/>
  <c r="V425" i="5"/>
  <c r="U266" i="5"/>
  <c r="V266" i="5"/>
  <c r="V226" i="5"/>
  <c r="U226" i="5"/>
  <c r="V494" i="5"/>
  <c r="U494" i="5"/>
  <c r="U431" i="5"/>
  <c r="V431" i="5"/>
  <c r="V478" i="5"/>
  <c r="U478" i="5"/>
  <c r="U20" i="5"/>
  <c r="V20" i="5"/>
  <c r="U348" i="5"/>
  <c r="V348" i="5"/>
  <c r="U90" i="5"/>
  <c r="V90" i="5"/>
  <c r="U74" i="5"/>
  <c r="V74" i="5"/>
  <c r="V246" i="5"/>
  <c r="U246" i="5"/>
  <c r="V112" i="5"/>
  <c r="U112" i="5"/>
  <c r="V520" i="5"/>
  <c r="U520" i="5"/>
  <c r="U72" i="5"/>
  <c r="V72" i="5"/>
  <c r="V412" i="5"/>
  <c r="U412" i="5"/>
  <c r="V453" i="5"/>
  <c r="U453" i="5"/>
  <c r="V192" i="5"/>
  <c r="U192" i="5"/>
  <c r="V129" i="5"/>
  <c r="Q7" i="5"/>
  <c r="B218" i="2"/>
  <c r="B236" i="2" s="1"/>
  <c r="B46" i="2"/>
  <c r="U30" i="5"/>
  <c r="V30" i="5"/>
  <c r="V242" i="5"/>
  <c r="U242" i="5"/>
  <c r="U285" i="5"/>
  <c r="V285" i="5"/>
  <c r="V302" i="5"/>
  <c r="U302" i="5"/>
  <c r="V278" i="5"/>
  <c r="U278" i="5"/>
  <c r="V135" i="5"/>
  <c r="U135" i="5"/>
  <c r="V77" i="5"/>
  <c r="U77" i="5"/>
  <c r="V355" i="5"/>
  <c r="U355" i="5"/>
  <c r="V467" i="5"/>
  <c r="U467" i="5"/>
  <c r="V102" i="5"/>
  <c r="U102" i="5"/>
  <c r="V232" i="5"/>
  <c r="U232" i="5"/>
  <c r="V351" i="5"/>
  <c r="U351" i="5"/>
  <c r="U249" i="5"/>
  <c r="V249" i="5"/>
  <c r="U506" i="5"/>
  <c r="V506" i="5"/>
  <c r="U442" i="5"/>
  <c r="V442" i="5"/>
  <c r="U502" i="5"/>
  <c r="V502" i="5"/>
  <c r="U291" i="5"/>
  <c r="V291" i="5"/>
  <c r="V493" i="5"/>
  <c r="U493" i="5"/>
  <c r="U554" i="5"/>
  <c r="V554" i="5"/>
  <c r="U61" i="5"/>
  <c r="V61" i="5"/>
  <c r="U64" i="5"/>
  <c r="V64" i="5"/>
  <c r="U186" i="5"/>
  <c r="V186" i="5"/>
  <c r="U12" i="5"/>
  <c r="V12" i="5"/>
  <c r="V441" i="5"/>
  <c r="U441" i="5"/>
  <c r="V421" i="5"/>
  <c r="U421" i="5"/>
  <c r="U516" i="5"/>
  <c r="V516" i="5"/>
  <c r="V500" i="5"/>
  <c r="U500" i="5"/>
  <c r="U509" i="5"/>
  <c r="V509" i="5"/>
  <c r="V210" i="5"/>
  <c r="U210" i="5"/>
  <c r="U315" i="5"/>
  <c r="V315" i="5"/>
  <c r="U545" i="5"/>
  <c r="V545" i="5"/>
  <c r="V117" i="5"/>
  <c r="U117" i="5"/>
  <c r="V207" i="5"/>
  <c r="U207" i="5"/>
  <c r="U319" i="5"/>
  <c r="V319" i="5"/>
  <c r="V34" i="5"/>
  <c r="U34" i="5"/>
  <c r="V63" i="5"/>
  <c r="U63" i="5"/>
  <c r="U241" i="5"/>
  <c r="V241" i="5"/>
  <c r="V498" i="5"/>
  <c r="U498" i="5"/>
  <c r="V368" i="5"/>
  <c r="U368" i="5"/>
  <c r="U264" i="5"/>
  <c r="V264" i="5"/>
  <c r="V418" i="5"/>
  <c r="U418" i="5"/>
  <c r="U306" i="5"/>
  <c r="V306" i="5"/>
  <c r="U185" i="5"/>
  <c r="V185" i="5"/>
  <c r="U244" i="5"/>
  <c r="V244" i="5"/>
  <c r="U499" i="5"/>
  <c r="V499" i="5"/>
  <c r="V379" i="5"/>
  <c r="U379" i="5"/>
  <c r="V146" i="5"/>
  <c r="U146" i="5"/>
  <c r="U171" i="5"/>
  <c r="V171" i="5"/>
  <c r="U327" i="5"/>
  <c r="V327" i="5"/>
  <c r="V492" i="5"/>
  <c r="U492" i="5"/>
  <c r="U60" i="5"/>
  <c r="V60" i="5"/>
  <c r="V415" i="5"/>
  <c r="U415" i="5"/>
  <c r="V508" i="5"/>
  <c r="U508" i="5"/>
  <c r="U539" i="5"/>
  <c r="V539" i="5"/>
  <c r="U73" i="5"/>
  <c r="V73" i="5"/>
  <c r="U243" i="5"/>
  <c r="V243" i="5"/>
  <c r="V19" i="5"/>
  <c r="U19" i="5"/>
  <c r="V339" i="5"/>
  <c r="U339" i="5"/>
  <c r="V443" i="5"/>
  <c r="U443" i="5"/>
  <c r="U519" i="5"/>
  <c r="V519" i="5"/>
  <c r="U551" i="5"/>
  <c r="V551" i="5"/>
  <c r="W7" i="5"/>
  <c r="B224" i="2"/>
  <c r="B323" i="2"/>
  <c r="B322" i="2"/>
  <c r="V167" i="5"/>
  <c r="U167" i="5"/>
  <c r="V106" i="5"/>
  <c r="U106" i="5"/>
  <c r="V93" i="5"/>
  <c r="U93" i="5"/>
  <c r="V217" i="5"/>
  <c r="U217" i="5"/>
  <c r="U515" i="5"/>
  <c r="V515" i="5"/>
  <c r="U362" i="5"/>
  <c r="V362" i="5"/>
  <c r="U365" i="5"/>
  <c r="V365" i="5"/>
  <c r="U559" i="5"/>
  <c r="V559" i="5"/>
  <c r="U296" i="5"/>
  <c r="V296" i="5"/>
  <c r="U323" i="5"/>
  <c r="V323" i="5"/>
  <c r="V28" i="5"/>
  <c r="U28" i="5"/>
  <c r="V535" i="5"/>
  <c r="U535" i="5"/>
  <c r="U281" i="5"/>
  <c r="V281" i="5"/>
  <c r="V216" i="5"/>
  <c r="U216" i="5"/>
  <c r="V41" i="5"/>
  <c r="U41" i="5"/>
  <c r="U8" i="5"/>
  <c r="V8" i="5"/>
  <c r="V202" i="5"/>
  <c r="U202" i="5"/>
  <c r="U394" i="5"/>
  <c r="V394" i="5"/>
  <c r="U53" i="5"/>
  <c r="V53" i="5"/>
  <c r="U530" i="5"/>
  <c r="V530" i="5"/>
  <c r="U276" i="5"/>
  <c r="V276" i="5"/>
  <c r="V174" i="5"/>
  <c r="U174" i="5"/>
  <c r="U359" i="5"/>
  <c r="V359" i="5"/>
  <c r="U13" i="5"/>
  <c r="V13" i="5"/>
  <c r="V382" i="5"/>
  <c r="U382" i="5"/>
  <c r="V261" i="5"/>
  <c r="U261" i="5"/>
  <c r="V248" i="5"/>
  <c r="U248" i="5"/>
  <c r="U128" i="5"/>
  <c r="V128" i="5"/>
  <c r="U292" i="5"/>
  <c r="V292" i="5"/>
  <c r="U290" i="5"/>
  <c r="V290" i="5"/>
  <c r="V76" i="5"/>
  <c r="U76" i="5"/>
  <c r="V83" i="5"/>
  <c r="U83" i="5"/>
  <c r="V283" i="5"/>
  <c r="U283" i="5"/>
  <c r="V255" i="5"/>
  <c r="U255" i="5"/>
  <c r="U177" i="5"/>
  <c r="V177" i="5"/>
  <c r="V52" i="5"/>
  <c r="U52" i="5"/>
  <c r="U440" i="5"/>
  <c r="V440" i="5"/>
  <c r="V139" i="5"/>
  <c r="U139" i="5"/>
  <c r="V526" i="5"/>
  <c r="U526" i="5"/>
  <c r="V385" i="5"/>
  <c r="U385" i="5"/>
  <c r="V553" i="5"/>
  <c r="U553" i="5"/>
  <c r="V445" i="5"/>
  <c r="U445" i="5"/>
  <c r="V289" i="5"/>
  <c r="U289" i="5"/>
  <c r="U196" i="5"/>
  <c r="V196" i="5"/>
  <c r="U24" i="5"/>
  <c r="V24" i="5"/>
  <c r="U110" i="5"/>
  <c r="V110" i="5"/>
  <c r="U407" i="5"/>
  <c r="V407" i="5"/>
  <c r="V168" i="5"/>
  <c r="U168" i="5"/>
  <c r="V488" i="5"/>
  <c r="U488" i="5"/>
  <c r="U236" i="5"/>
  <c r="V236" i="5"/>
  <c r="V181" i="5"/>
  <c r="U181" i="5"/>
  <c r="U403" i="5"/>
  <c r="V403" i="5"/>
  <c r="V234" i="5"/>
  <c r="U234" i="5"/>
  <c r="V103" i="5"/>
  <c r="U103" i="5"/>
  <c r="V342" i="5"/>
  <c r="U342" i="5"/>
  <c r="U257" i="5"/>
  <c r="V257" i="5"/>
  <c r="U183" i="5"/>
  <c r="V183" i="5"/>
  <c r="B74" i="2"/>
  <c r="V124" i="5"/>
  <c r="U124" i="5"/>
  <c r="V245" i="5"/>
  <c r="U245" i="5"/>
  <c r="U130" i="5"/>
  <c r="V130" i="5"/>
  <c r="U136" i="5"/>
  <c r="V136" i="5"/>
  <c r="U108" i="5"/>
  <c r="V108" i="5"/>
  <c r="U324" i="5"/>
  <c r="V324" i="5"/>
  <c r="V67" i="5"/>
  <c r="U67" i="5"/>
  <c r="V543" i="5"/>
  <c r="U543" i="5"/>
  <c r="U176" i="5"/>
  <c r="V176" i="5"/>
  <c r="U468" i="5"/>
  <c r="V468" i="5"/>
  <c r="V396" i="5"/>
  <c r="U396" i="5"/>
  <c r="V399" i="5"/>
  <c r="U399" i="5"/>
  <c r="U338" i="5"/>
  <c r="V338" i="5"/>
  <c r="U341" i="5"/>
  <c r="V341" i="5"/>
  <c r="U297" i="5"/>
  <c r="V297" i="5"/>
  <c r="V496" i="5"/>
  <c r="U496" i="5"/>
  <c r="V295" i="5"/>
  <c r="U295" i="5"/>
  <c r="U375" i="5"/>
  <c r="V375" i="5"/>
  <c r="V80" i="5"/>
  <c r="U80" i="5"/>
  <c r="V32" i="5"/>
  <c r="U32" i="5"/>
  <c r="V517" i="5"/>
  <c r="U517" i="5"/>
  <c r="V334" i="5"/>
  <c r="U334" i="5"/>
  <c r="V219" i="5"/>
  <c r="U219" i="5"/>
  <c r="U298" i="5"/>
  <c r="V298" i="5"/>
  <c r="U316" i="5"/>
  <c r="V316" i="5"/>
  <c r="V220" i="5"/>
  <c r="U220" i="5"/>
  <c r="U142" i="5"/>
  <c r="V142" i="5"/>
  <c r="V388" i="5"/>
  <c r="U388" i="5"/>
  <c r="V75" i="5"/>
  <c r="U75" i="5"/>
  <c r="V435" i="5"/>
  <c r="U435" i="5"/>
  <c r="U380" i="5"/>
  <c r="V380" i="5"/>
  <c r="U363" i="5"/>
  <c r="V363" i="5"/>
  <c r="U345" i="5"/>
  <c r="V345" i="5"/>
  <c r="V335" i="5"/>
  <c r="U335" i="5"/>
  <c r="V457" i="5"/>
  <c r="U457" i="5"/>
  <c r="V344" i="5"/>
  <c r="U344" i="5"/>
  <c r="U267" i="5"/>
  <c r="V267" i="5"/>
  <c r="V99" i="5"/>
  <c r="U99" i="5"/>
  <c r="U193" i="5"/>
  <c r="V193" i="5"/>
  <c r="V260" i="5"/>
  <c r="U260" i="5"/>
  <c r="V122" i="5"/>
  <c r="U122" i="5"/>
  <c r="V471" i="5"/>
  <c r="V474" i="5"/>
  <c r="U474" i="5"/>
  <c r="U556" i="5"/>
  <c r="V556" i="5"/>
  <c r="V392" i="5"/>
  <c r="U392" i="5"/>
  <c r="V490" i="5"/>
  <c r="U490" i="5"/>
  <c r="V65" i="5"/>
  <c r="U65" i="5"/>
  <c r="V354" i="5"/>
  <c r="V209" i="5"/>
  <c r="U209" i="5"/>
  <c r="U45" i="5"/>
  <c r="V45" i="5"/>
  <c r="V87" i="5"/>
  <c r="U87" i="5"/>
  <c r="V448" i="5"/>
  <c r="U448" i="5"/>
  <c r="U36" i="5"/>
  <c r="U547" i="5"/>
  <c r="V547" i="5"/>
  <c r="V175" i="5"/>
  <c r="U175" i="5"/>
  <c r="U172" i="5"/>
  <c r="V172" i="5"/>
  <c r="V165" i="5"/>
  <c r="U165" i="5"/>
  <c r="V460" i="5"/>
  <c r="U460" i="5"/>
  <c r="U332" i="5"/>
  <c r="V332" i="5"/>
  <c r="B43" i="5"/>
  <c r="W338" i="5"/>
  <c r="W354" i="5"/>
  <c r="W446" i="5"/>
  <c r="W269" i="5"/>
  <c r="W435" i="5"/>
  <c r="W441" i="5"/>
  <c r="W173" i="5"/>
  <c r="W399" i="5"/>
  <c r="W247" i="5"/>
  <c r="W440" i="5"/>
  <c r="W19" i="5"/>
  <c r="W63" i="5"/>
  <c r="W488" i="5"/>
  <c r="W358" i="5"/>
  <c r="W287" i="5"/>
  <c r="W204" i="5"/>
  <c r="W365" i="5"/>
  <c r="W172" i="5"/>
  <c r="W325" i="5"/>
  <c r="W348" i="5"/>
  <c r="W252" i="5"/>
  <c r="W388" i="5"/>
  <c r="W68" i="5"/>
  <c r="W303" i="5"/>
  <c r="W41" i="5"/>
  <c r="W38" i="5"/>
  <c r="W238" i="5"/>
  <c r="W345" i="5"/>
  <c r="W140" i="5"/>
  <c r="W513" i="5"/>
  <c r="W511" i="5"/>
  <c r="W286" i="5"/>
  <c r="W285" i="5"/>
  <c r="W137" i="5"/>
  <c r="W536" i="5"/>
  <c r="W442" i="5"/>
  <c r="W368" i="5"/>
  <c r="W461" i="5"/>
  <c r="W456" i="5"/>
  <c r="W218" i="5"/>
  <c r="W519" i="5"/>
  <c r="W364" i="5"/>
  <c r="W314" i="5"/>
  <c r="W437" i="5"/>
  <c r="W458" i="5"/>
  <c r="W322" i="5"/>
  <c r="W121" i="5"/>
  <c r="W249" i="5"/>
  <c r="W8" i="5"/>
  <c r="W337" i="5"/>
  <c r="W153" i="5"/>
  <c r="W521" i="5"/>
  <c r="W316" i="5"/>
  <c r="W528" i="5"/>
  <c r="W185" i="5"/>
  <c r="W304" i="5"/>
  <c r="W101" i="5"/>
  <c r="W86" i="5"/>
  <c r="W225" i="5"/>
  <c r="W295" i="5"/>
  <c r="W166" i="5"/>
  <c r="W124" i="5"/>
  <c r="W382" i="5"/>
  <c r="W546" i="5"/>
  <c r="W235" i="5"/>
  <c r="W22" i="5"/>
  <c r="W241" i="5"/>
  <c r="W174" i="5"/>
  <c r="W206" i="5"/>
  <c r="W84" i="5"/>
  <c r="W81" i="5"/>
  <c r="W374" i="5"/>
  <c r="W384" i="5"/>
  <c r="W474" i="5"/>
  <c r="W353" i="5"/>
  <c r="W420" i="5"/>
  <c r="W417" i="5"/>
  <c r="W489" i="5"/>
  <c r="W329" i="5"/>
  <c r="W223" i="5"/>
  <c r="W177" i="5"/>
  <c r="W376" i="5"/>
  <c r="W515" i="5"/>
  <c r="W531" i="5"/>
  <c r="W310" i="5"/>
  <c r="W103" i="5"/>
  <c r="W106" i="5"/>
  <c r="W492" i="5"/>
  <c r="W236" i="5"/>
  <c r="W108" i="5"/>
  <c r="W257" i="5"/>
  <c r="W323" i="5"/>
  <c r="W401" i="5"/>
  <c r="W192" i="5"/>
  <c r="W21" i="5"/>
  <c r="W468" i="5"/>
  <c r="W504" i="5"/>
  <c r="W342" i="5"/>
  <c r="W232" i="5"/>
  <c r="W259" i="5"/>
  <c r="W228" i="5"/>
  <c r="W165" i="5"/>
  <c r="W132" i="5"/>
  <c r="W62" i="5"/>
  <c r="W157" i="5"/>
  <c r="W507" i="5"/>
  <c r="W149" i="5"/>
  <c r="W445" i="5"/>
  <c r="W330" i="5"/>
  <c r="W559" i="5"/>
  <c r="W349" i="5"/>
  <c r="W61" i="5"/>
  <c r="W510" i="5"/>
  <c r="W76" i="5"/>
  <c r="W28" i="5"/>
  <c r="W88" i="5"/>
  <c r="W248" i="5"/>
  <c r="W343" i="5"/>
  <c r="W36" i="5"/>
  <c r="W389" i="5"/>
  <c r="W156" i="5"/>
  <c r="W299" i="5"/>
  <c r="W40" i="5"/>
  <c r="W278" i="5"/>
  <c r="W469" i="5"/>
  <c r="W462" i="5"/>
  <c r="W110" i="5"/>
  <c r="W230" i="5"/>
  <c r="W60" i="5"/>
  <c r="W363" i="5"/>
  <c r="W432" i="5"/>
  <c r="W341" i="5"/>
  <c r="W392" i="5"/>
  <c r="W239" i="5"/>
  <c r="W274" i="5"/>
  <c r="W99" i="5"/>
  <c r="W390" i="5"/>
  <c r="W495" i="5"/>
  <c r="W289" i="5"/>
  <c r="W87" i="5"/>
  <c r="W540" i="5"/>
  <c r="W367" i="5"/>
  <c r="W96" i="5"/>
  <c r="W424" i="5"/>
  <c r="W148" i="5"/>
  <c r="W422" i="5"/>
  <c r="W12" i="5"/>
  <c r="W483" i="5"/>
  <c r="W154" i="5"/>
  <c r="W32" i="5"/>
  <c r="W327" i="5"/>
  <c r="W416" i="5"/>
  <c r="W318" i="5"/>
  <c r="W466" i="5"/>
  <c r="W25" i="5"/>
  <c r="W201" i="5"/>
  <c r="W409" i="5"/>
  <c r="W419" i="5"/>
  <c r="W128" i="5"/>
  <c r="W537" i="5"/>
  <c r="W120" i="5"/>
  <c r="W393" i="5"/>
  <c r="W66" i="5"/>
  <c r="W366" i="5"/>
  <c r="W49" i="5"/>
  <c r="W220" i="5"/>
  <c r="W370" i="5"/>
  <c r="W448" i="5"/>
  <c r="W500" i="5"/>
  <c r="W335" i="5"/>
  <c r="W170" i="5"/>
  <c r="W407" i="5"/>
  <c r="W50" i="5"/>
  <c r="W395" i="5"/>
  <c r="W178" i="5"/>
  <c r="W292" i="5"/>
  <c r="W93" i="5"/>
  <c r="W200" i="5"/>
  <c r="W97" i="5"/>
  <c r="W216" i="5"/>
  <c r="W266" i="5"/>
  <c r="W387" i="5"/>
  <c r="W508" i="5"/>
  <c r="W331" i="5"/>
  <c r="W82" i="5"/>
  <c r="W321" i="5"/>
  <c r="W146" i="5"/>
  <c r="W212" i="5"/>
  <c r="W182" i="5"/>
  <c r="W69" i="5"/>
  <c r="W404" i="5"/>
  <c r="W332" i="5"/>
  <c r="W281" i="5"/>
  <c r="W91" i="5"/>
  <c r="W167" i="5"/>
  <c r="W102" i="5"/>
  <c r="W273" i="5"/>
  <c r="W70" i="5"/>
  <c r="W486" i="5"/>
  <c r="W542" i="5"/>
  <c r="W359" i="5"/>
  <c r="W31" i="5"/>
  <c r="W543" i="5"/>
  <c r="W30" i="5"/>
  <c r="W42" i="5"/>
  <c r="W219" i="5"/>
  <c r="W497" i="5"/>
  <c r="W434" i="5"/>
  <c r="W107" i="5"/>
  <c r="W408" i="5"/>
  <c r="W501" i="5"/>
  <c r="W198" i="5"/>
  <c r="W162" i="5"/>
  <c r="W35" i="5"/>
  <c r="W251" i="5"/>
  <c r="W319" i="5"/>
  <c r="W526" i="5"/>
  <c r="W410" i="5"/>
  <c r="W346" i="5"/>
  <c r="W476" i="5"/>
  <c r="W53" i="5"/>
  <c r="W105" i="5"/>
  <c r="W43" i="5"/>
  <c r="W175" i="5"/>
  <c r="W429" i="5"/>
  <c r="W85" i="5"/>
  <c r="W183" i="5"/>
  <c r="W471" i="5"/>
  <c r="W104" i="5"/>
  <c r="W550" i="5"/>
  <c r="W57" i="5"/>
  <c r="W73" i="5"/>
  <c r="W191" i="5"/>
  <c r="W463" i="5"/>
  <c r="W465" i="5"/>
  <c r="W356" i="5"/>
  <c r="W213" i="5"/>
  <c r="W464" i="5"/>
  <c r="W139" i="5"/>
  <c r="W467" i="5"/>
  <c r="W13" i="5"/>
  <c r="W44" i="5"/>
  <c r="W180" i="5"/>
  <c r="W193" i="5"/>
  <c r="W242" i="5"/>
  <c r="W449" i="5"/>
  <c r="W398" i="5"/>
  <c r="W234" i="5"/>
  <c r="W311" i="5"/>
  <c r="W383" i="5"/>
  <c r="W427" i="5"/>
  <c r="W20" i="5"/>
  <c r="W271" i="5"/>
  <c r="W245" i="5"/>
  <c r="W451" i="5"/>
  <c r="W226" i="5"/>
  <c r="W547" i="5"/>
  <c r="W211" i="5"/>
  <c r="W240" i="5"/>
  <c r="W264" i="5"/>
  <c r="W92" i="5"/>
  <c r="W160" i="5"/>
  <c r="W176" i="5"/>
  <c r="W119" i="5"/>
  <c r="W294" i="5"/>
  <c r="W487" i="5"/>
  <c r="W529" i="5"/>
  <c r="W109" i="5"/>
  <c r="W362" i="5"/>
  <c r="W308" i="5"/>
  <c r="W369" i="5"/>
  <c r="W45" i="5"/>
  <c r="W161" i="5"/>
  <c r="W502" i="5"/>
  <c r="W347" i="5"/>
  <c r="W391" i="5"/>
  <c r="W134" i="5"/>
  <c r="W505" i="5"/>
  <c r="W459" i="5"/>
  <c r="W187" i="5"/>
  <c r="W457" i="5"/>
  <c r="W426" i="5"/>
  <c r="W479" i="5"/>
  <c r="W231" i="5"/>
  <c r="W147" i="5"/>
  <c r="W163" i="5"/>
  <c r="W261" i="5"/>
  <c r="W485" i="5"/>
  <c r="W454" i="5"/>
  <c r="W217" i="5"/>
  <c r="W83" i="5"/>
  <c r="W224" i="5"/>
  <c r="W433" i="5"/>
  <c r="W397" i="5"/>
  <c r="W516" i="5"/>
  <c r="W94" i="5"/>
  <c r="W158" i="5"/>
  <c r="W142" i="5"/>
  <c r="W256" i="5"/>
  <c r="W253" i="5"/>
  <c r="W77" i="5"/>
  <c r="W491" i="5"/>
  <c r="W237" i="5"/>
  <c r="W532" i="5"/>
  <c r="W184" i="5"/>
  <c r="W552" i="5"/>
  <c r="W430" i="5"/>
  <c r="W352" i="5"/>
  <c r="W554" i="5"/>
  <c r="W164" i="5"/>
  <c r="W472" i="5"/>
  <c r="W484" i="5"/>
  <c r="W421" i="5"/>
  <c r="W439" i="5"/>
  <c r="W455" i="5"/>
  <c r="W171" i="5"/>
  <c r="W373" i="5"/>
  <c r="W524" i="5"/>
  <c r="W227" i="5"/>
  <c r="W34" i="5"/>
  <c r="W300" i="5"/>
  <c r="W544" i="5"/>
  <c r="W478" i="5"/>
  <c r="W326" i="5"/>
  <c r="W545" i="5"/>
  <c r="W244" i="5"/>
  <c r="W525" i="5"/>
  <c r="W493" i="5"/>
  <c r="W436" i="5"/>
  <c r="W195" i="5"/>
  <c r="W282" i="5"/>
  <c r="W305" i="5"/>
  <c r="W490" i="5"/>
  <c r="W380" i="5"/>
  <c r="W297" i="5"/>
  <c r="W136" i="5"/>
  <c r="W475" i="5"/>
  <c r="W131" i="5"/>
  <c r="W203" i="5"/>
  <c r="W481" i="5"/>
  <c r="W270" i="5"/>
  <c r="W517" i="5"/>
  <c r="W169" i="5"/>
  <c r="W355" i="5"/>
  <c r="W333" i="5"/>
  <c r="W496" i="5"/>
  <c r="W385" i="5"/>
  <c r="W413" i="5"/>
  <c r="W89" i="5"/>
  <c r="W277" i="5"/>
  <c r="W268" i="5"/>
  <c r="W125" i="5"/>
  <c r="W539" i="5"/>
  <c r="W117" i="5"/>
  <c r="W450" i="5"/>
  <c r="W520" i="5"/>
  <c r="W75" i="5"/>
  <c r="W207" i="5"/>
  <c r="W202" i="5"/>
  <c r="W415" i="5"/>
  <c r="W555" i="5"/>
  <c r="W79" i="5"/>
  <c r="W196" i="5"/>
  <c r="W24" i="5"/>
  <c r="W112" i="5"/>
  <c r="W418" i="5"/>
  <c r="W541" i="5"/>
  <c r="W181" i="5"/>
  <c r="W122" i="5"/>
  <c r="W115" i="5"/>
  <c r="W113" i="5"/>
  <c r="W179" i="5"/>
  <c r="W74" i="5"/>
  <c r="W246" i="5"/>
  <c r="W39" i="5"/>
  <c r="W90" i="5"/>
  <c r="W33" i="5"/>
  <c r="W189" i="5"/>
  <c r="W56" i="5"/>
  <c r="W155" i="5"/>
  <c r="W194" i="5"/>
  <c r="W339" i="5"/>
  <c r="W298" i="5"/>
  <c r="W320" i="5"/>
  <c r="W221" i="5"/>
  <c r="W59" i="5"/>
  <c r="W506" i="5"/>
  <c r="W265" i="5"/>
  <c r="W402" i="5"/>
  <c r="W54" i="5"/>
  <c r="W360" i="5"/>
  <c r="W523" i="5"/>
  <c r="W558" i="5"/>
  <c r="W65" i="5"/>
  <c r="W186" i="5"/>
  <c r="W210" i="5"/>
  <c r="W371" i="5"/>
  <c r="W275" i="5"/>
  <c r="W116" i="5"/>
  <c r="W438" i="5"/>
  <c r="W530" i="5"/>
  <c r="W306" i="5"/>
  <c r="W284" i="5"/>
  <c r="W133" i="5"/>
  <c r="W279" i="5"/>
  <c r="W145" i="5"/>
  <c r="W548" i="5"/>
  <c r="W138" i="5"/>
  <c r="W114" i="5"/>
  <c r="W473" i="5"/>
  <c r="W512" i="5"/>
  <c r="W199" i="5"/>
  <c r="W372" i="5"/>
  <c r="W26" i="5"/>
  <c r="W324" i="5"/>
  <c r="W263" i="5"/>
  <c r="W317" i="5"/>
  <c r="W64" i="5"/>
  <c r="W288" i="5"/>
  <c r="W205" i="5"/>
  <c r="W209" i="5"/>
  <c r="W470" i="5"/>
  <c r="W272" i="5"/>
  <c r="W406" i="5"/>
  <c r="W214" i="5"/>
  <c r="W151" i="5"/>
  <c r="W499" i="5"/>
  <c r="W283" i="5"/>
  <c r="W560" i="5"/>
  <c r="W396" i="5"/>
  <c r="W100" i="5"/>
  <c r="W527" i="5"/>
  <c r="W258" i="5"/>
  <c r="W144" i="5"/>
  <c r="W23" i="5"/>
  <c r="W379" i="5"/>
  <c r="W503" i="5"/>
  <c r="W403" i="5"/>
  <c r="W47" i="5"/>
  <c r="W444" i="5"/>
  <c r="W557" i="5"/>
  <c r="W357" i="5"/>
  <c r="W447" i="5"/>
  <c r="W340" i="5"/>
  <c r="W551" i="5"/>
  <c r="W428" i="5"/>
  <c r="W302" i="5"/>
  <c r="W414" i="5"/>
  <c r="W378" i="5"/>
  <c r="W276" i="5"/>
  <c r="W296" i="5"/>
  <c r="W111" i="5"/>
  <c r="W123" i="5"/>
  <c r="W518" i="5"/>
  <c r="W188" i="5"/>
  <c r="W315" i="5"/>
  <c r="W46" i="5"/>
  <c r="W425" i="5"/>
  <c r="W412" i="5"/>
  <c r="W328" i="5"/>
  <c r="W394" i="5"/>
  <c r="W98" i="5"/>
  <c r="W126" i="5"/>
  <c r="W27" i="5"/>
  <c r="W67" i="5"/>
  <c r="W190" i="5"/>
  <c r="W375" i="5"/>
  <c r="W534" i="5"/>
  <c r="W159" i="5"/>
  <c r="W309" i="5"/>
  <c r="W127" i="5"/>
  <c r="W254" i="5"/>
  <c r="W293" i="5"/>
  <c r="W514" i="5"/>
  <c r="W208" i="5"/>
  <c r="W280" i="5"/>
  <c r="W443" i="5"/>
  <c r="W222" i="5"/>
  <c r="W58" i="5"/>
  <c r="W301" i="5"/>
  <c r="W129" i="5"/>
  <c r="W250" i="5"/>
  <c r="W386" i="5"/>
  <c r="W152" i="5"/>
  <c r="W344" i="5"/>
  <c r="W291" i="5"/>
  <c r="W556" i="5"/>
  <c r="W52" i="5"/>
  <c r="W494" i="5"/>
  <c r="W48" i="5"/>
  <c r="W233" i="5"/>
  <c r="W267" i="5"/>
  <c r="W118" i="5"/>
  <c r="W334" i="5"/>
  <c r="W498" i="5"/>
  <c r="W431" i="5"/>
  <c r="W150" i="5"/>
  <c r="W535" i="5"/>
  <c r="W243" i="5"/>
  <c r="W377" i="5"/>
  <c r="W307" i="5"/>
  <c r="W460" i="5"/>
  <c r="W411" i="5"/>
  <c r="W72" i="5"/>
  <c r="W533" i="5"/>
  <c r="W168" i="5"/>
  <c r="W313" i="5"/>
  <c r="W95" i="5"/>
  <c r="W381" i="5"/>
  <c r="W522" i="5"/>
  <c r="W453" i="5"/>
  <c r="W290" i="5"/>
  <c r="W197" i="5"/>
  <c r="W135" i="5"/>
  <c r="W255" i="5"/>
  <c r="W130" i="5"/>
  <c r="W312" i="5"/>
  <c r="W141" i="5"/>
  <c r="W260" i="5"/>
  <c r="W143" i="5"/>
  <c r="W553" i="5"/>
  <c r="W51" i="5"/>
  <c r="W452" i="5"/>
  <c r="W336" i="5"/>
  <c r="W509" i="5"/>
  <c r="W350" i="5"/>
  <c r="W262" i="5"/>
  <c r="W80" i="5"/>
  <c r="W71" i="5"/>
  <c r="W215" i="5"/>
  <c r="W351" i="5"/>
  <c r="W423" i="5"/>
  <c r="W361" i="5"/>
  <c r="W405" i="5"/>
  <c r="W55" i="5"/>
  <c r="W400" i="5"/>
  <c r="W480" i="5"/>
  <c r="W538" i="5"/>
  <c r="W482" i="5"/>
  <c r="W477" i="5"/>
  <c r="W78" i="5"/>
  <c r="W549" i="5"/>
  <c r="W29" i="5"/>
  <c r="W229" i="5"/>
  <c r="U223" i="5"/>
  <c r="V223" i="5"/>
  <c r="U179" i="5"/>
  <c r="V179" i="5"/>
  <c r="V252" i="5"/>
  <c r="U252" i="5"/>
  <c r="V451" i="5"/>
  <c r="U451" i="5"/>
  <c r="U230" i="5"/>
  <c r="V230" i="5"/>
  <c r="V229" i="5"/>
  <c r="U229" i="5"/>
  <c r="U552" i="5"/>
  <c r="V552" i="5"/>
  <c r="U404" i="5"/>
  <c r="V404" i="5"/>
  <c r="V164" i="5"/>
  <c r="U164" i="5"/>
  <c r="V489" i="5"/>
  <c r="U489" i="5"/>
  <c r="V320" i="5"/>
  <c r="U320" i="5"/>
  <c r="V247" i="5"/>
  <c r="U247" i="5"/>
  <c r="V227" i="5"/>
  <c r="U227" i="5"/>
  <c r="U350" i="5"/>
  <c r="V350" i="5"/>
  <c r="U533" i="5"/>
  <c r="V533" i="5"/>
  <c r="U439" i="5"/>
  <c r="V439" i="5"/>
  <c r="U256" i="5"/>
  <c r="V256" i="5"/>
  <c r="U485" i="5"/>
  <c r="V485" i="5"/>
  <c r="V282" i="5"/>
  <c r="U282" i="5"/>
  <c r="V311" i="5"/>
  <c r="U311" i="5"/>
  <c r="V111" i="5"/>
  <c r="U111" i="5"/>
  <c r="U503" i="5"/>
  <c r="V503" i="5"/>
  <c r="V303" i="5"/>
  <c r="U303" i="5"/>
  <c r="V195" i="5"/>
  <c r="U195" i="5"/>
  <c r="V133" i="5"/>
  <c r="U133" i="5"/>
  <c r="V371" i="5"/>
  <c r="U371" i="5"/>
  <c r="V147" i="5"/>
  <c r="U147" i="5"/>
  <c r="U317" i="5"/>
  <c r="V317" i="5"/>
  <c r="V544" i="5"/>
  <c r="U544" i="5"/>
  <c r="U512" i="5"/>
  <c r="V512" i="5"/>
  <c r="U235" i="5"/>
  <c r="V235" i="5"/>
  <c r="U107" i="5"/>
  <c r="V107" i="5"/>
  <c r="V511" i="5"/>
  <c r="U511" i="5"/>
  <c r="V393" i="5"/>
  <c r="U393" i="5"/>
  <c r="V464" i="5"/>
  <c r="U464" i="5"/>
  <c r="V386" i="5"/>
  <c r="U386" i="5"/>
  <c r="V101" i="5"/>
  <c r="U101" i="5"/>
  <c r="U447" i="5"/>
  <c r="V447" i="5"/>
  <c r="U109" i="5"/>
  <c r="V109" i="5"/>
  <c r="V228" i="5"/>
  <c r="U228" i="5"/>
  <c r="V205" i="5"/>
  <c r="U205" i="5"/>
  <c r="V22" i="5"/>
  <c r="U22" i="5"/>
  <c r="V301" i="5"/>
  <c r="U301" i="5"/>
  <c r="V51" i="5"/>
  <c r="U51" i="5"/>
  <c r="U152" i="5"/>
  <c r="V152" i="5"/>
  <c r="U444" i="5"/>
  <c r="V444" i="5"/>
  <c r="U305" i="5"/>
  <c r="V305" i="5"/>
  <c r="V479" i="5"/>
  <c r="U479" i="5"/>
  <c r="V150" i="5"/>
  <c r="U150" i="5"/>
  <c r="U239" i="5"/>
  <c r="V239" i="5"/>
  <c r="V149" i="5"/>
  <c r="U149" i="5"/>
  <c r="U484" i="5"/>
  <c r="V484" i="5"/>
  <c r="V501" i="5"/>
  <c r="U501" i="5"/>
  <c r="U293" i="5"/>
  <c r="V293" i="5"/>
  <c r="U469" i="5"/>
  <c r="V469" i="5"/>
  <c r="U44" i="5"/>
  <c r="V44" i="5"/>
  <c r="V397" i="5"/>
  <c r="U397" i="5"/>
  <c r="U322" i="5"/>
  <c r="V322" i="5"/>
  <c r="V357" i="5"/>
  <c r="U357" i="5"/>
  <c r="U529" i="5"/>
  <c r="V529" i="5"/>
  <c r="U367" i="5"/>
  <c r="V367" i="5"/>
  <c r="U54" i="5"/>
  <c r="V54" i="5"/>
  <c r="V123" i="5"/>
  <c r="U123" i="5"/>
  <c r="V465" i="5"/>
  <c r="U465" i="5"/>
  <c r="V432" i="5"/>
  <c r="U432" i="5"/>
  <c r="V542" i="5"/>
  <c r="U542" i="5"/>
  <c r="U21" i="5"/>
  <c r="V21" i="5"/>
  <c r="U233" i="5"/>
  <c r="V233" i="5"/>
  <c r="AV51" i="4"/>
  <c r="U51" i="4"/>
  <c r="V51" i="4"/>
  <c r="AM415" i="5"/>
  <c r="AM462" i="5"/>
  <c r="AM93" i="5"/>
  <c r="AM425" i="5"/>
  <c r="AM433" i="5"/>
  <c r="AM232" i="5"/>
  <c r="AM143" i="5"/>
  <c r="AM118" i="5"/>
  <c r="AM301" i="5"/>
  <c r="AM113" i="5"/>
  <c r="AM216" i="5"/>
  <c r="AM285" i="5"/>
  <c r="AM455" i="5"/>
  <c r="AM521" i="5"/>
  <c r="AM353" i="5"/>
  <c r="AM513" i="5"/>
  <c r="AM385" i="5"/>
  <c r="AM451" i="5"/>
  <c r="AM362" i="5"/>
  <c r="AM131" i="5"/>
  <c r="AM424" i="5"/>
  <c r="AM404" i="5"/>
  <c r="AM400" i="5"/>
  <c r="AM262" i="5"/>
  <c r="AM495" i="5"/>
  <c r="AM248" i="5"/>
  <c r="AM468" i="5"/>
  <c r="AM259" i="5"/>
  <c r="AM427" i="5"/>
  <c r="AM214" i="5"/>
  <c r="AM161" i="5"/>
  <c r="AM251" i="5"/>
  <c r="AM320" i="5"/>
  <c r="AM30" i="5"/>
  <c r="AM215" i="5"/>
  <c r="AM530" i="5"/>
  <c r="AM264" i="5"/>
  <c r="AM356" i="5"/>
  <c r="AM201" i="5"/>
  <c r="AM511" i="5"/>
  <c r="AM225" i="5"/>
  <c r="AM136" i="5"/>
  <c r="AM485" i="5"/>
  <c r="AM57" i="5"/>
  <c r="AM500" i="5"/>
  <c r="AM64" i="5"/>
  <c r="AM222" i="5"/>
  <c r="AM56" i="5"/>
  <c r="AM484" i="5"/>
  <c r="AM86" i="5"/>
  <c r="AM236" i="5"/>
  <c r="AM397" i="5"/>
  <c r="AM372" i="5"/>
  <c r="AM76" i="5"/>
  <c r="AM314" i="5"/>
  <c r="AM318" i="5"/>
  <c r="AM80" i="5"/>
  <c r="AM156" i="5"/>
  <c r="AM367" i="5"/>
  <c r="AM329" i="5"/>
  <c r="AM300" i="5"/>
  <c r="AM326" i="5"/>
  <c r="AM414" i="5"/>
  <c r="AM355" i="5"/>
  <c r="AM323" i="5"/>
  <c r="AM524" i="5"/>
  <c r="AM351" i="5"/>
  <c r="AM330" i="5"/>
  <c r="AM233" i="5"/>
  <c r="AM420" i="5"/>
  <c r="AM429" i="5"/>
  <c r="AM412" i="5"/>
  <c r="AM187" i="5"/>
  <c r="AM52" i="5"/>
  <c r="AM550" i="5"/>
  <c r="AM74" i="5"/>
  <c r="AM122" i="5"/>
  <c r="AM464" i="5"/>
  <c r="AM544" i="5"/>
  <c r="AM467" i="5"/>
  <c r="AM199" i="5"/>
  <c r="AM191" i="5"/>
  <c r="AM340" i="5"/>
  <c r="AM339" i="5"/>
  <c r="AM206" i="5"/>
  <c r="AM175" i="5"/>
  <c r="AM276" i="5"/>
  <c r="AM306" i="5"/>
  <c r="AM545" i="5"/>
  <c r="AM475" i="5"/>
  <c r="AM231" i="5"/>
  <c r="AM505" i="5"/>
  <c r="AM144" i="5"/>
  <c r="AM31" i="5"/>
  <c r="AM322" i="5"/>
  <c r="AM21" i="5"/>
  <c r="AM272" i="5"/>
  <c r="AM66" i="5"/>
  <c r="AM357" i="5"/>
  <c r="AM104" i="5"/>
  <c r="AM63" i="5"/>
  <c r="AM167" i="5"/>
  <c r="AM532" i="5"/>
  <c r="AM213" i="5"/>
  <c r="AM510" i="5"/>
  <c r="AM101" i="5"/>
  <c r="AM78" i="5"/>
  <c r="B76" i="5"/>
  <c r="O10" i="5" s="1"/>
  <c r="AC10" i="5" s="1"/>
  <c r="AM481" i="5"/>
  <c r="AM289" i="5"/>
  <c r="AM488" i="5"/>
  <c r="AM487" i="5"/>
  <c r="AM256" i="5"/>
  <c r="AM295" i="5"/>
  <c r="AM150" i="5"/>
  <c r="AM120" i="5"/>
  <c r="AM294" i="5"/>
  <c r="AM145" i="5"/>
  <c r="AM261" i="5"/>
  <c r="AM293" i="5"/>
  <c r="AM407" i="5"/>
  <c r="AM202" i="5"/>
  <c r="AM470" i="5"/>
  <c r="AM417" i="5"/>
  <c r="AM321" i="5"/>
  <c r="AM278" i="5"/>
  <c r="AM139" i="5"/>
  <c r="AM210" i="5"/>
  <c r="AM501" i="5"/>
  <c r="AM358" i="5"/>
  <c r="AM204" i="5"/>
  <c r="AM453" i="5"/>
  <c r="AM376" i="5"/>
  <c r="AM344" i="5"/>
  <c r="AM431" i="5"/>
  <c r="AM176" i="5"/>
  <c r="AM75" i="5"/>
  <c r="AM182" i="5"/>
  <c r="AM549" i="5"/>
  <c r="AM50" i="5"/>
  <c r="AM179" i="5"/>
  <c r="AM174" i="5"/>
  <c r="AM472" i="5"/>
  <c r="AM224" i="5"/>
  <c r="AM269" i="5"/>
  <c r="AM165" i="5"/>
  <c r="AM51" i="5"/>
  <c r="AM286" i="5"/>
  <c r="AM235" i="5"/>
  <c r="AM341" i="5"/>
  <c r="AM237" i="5"/>
  <c r="AM347" i="5"/>
  <c r="AM556" i="5"/>
  <c r="AM29" i="5"/>
  <c r="AM507" i="5"/>
  <c r="AM311" i="5"/>
  <c r="AM45" i="5"/>
  <c r="AM534" i="5"/>
  <c r="AM498" i="5"/>
  <c r="AM79" i="5"/>
  <c r="AM32" i="5"/>
  <c r="AM555" i="5"/>
  <c r="AM135" i="5"/>
  <c r="AM299" i="5"/>
  <c r="AM20" i="5"/>
  <c r="AM557" i="5"/>
  <c r="AM319" i="5"/>
  <c r="AM288" i="5"/>
  <c r="AM543" i="5"/>
  <c r="AM454" i="5"/>
  <c r="AM325" i="5"/>
  <c r="AM486" i="5"/>
  <c r="AM409" i="5"/>
  <c r="AM346" i="5"/>
  <c r="AM218" i="5"/>
  <c r="AM456" i="5"/>
  <c r="AM493" i="5"/>
  <c r="AM102" i="5"/>
  <c r="AM69" i="5"/>
  <c r="AM275" i="5"/>
  <c r="AM247" i="5"/>
  <c r="AM359" i="5"/>
  <c r="AM196" i="5"/>
  <c r="AM205" i="5"/>
  <c r="AM219" i="5"/>
  <c r="AM90" i="5"/>
  <c r="AM335" i="5"/>
  <c r="AM402" i="5"/>
  <c r="AM284" i="5"/>
  <c r="AM428" i="5"/>
  <c r="AM324" i="5"/>
  <c r="AM229" i="5"/>
  <c r="AM436" i="5"/>
  <c r="AM554" i="5"/>
  <c r="AM527" i="5"/>
  <c r="AM497" i="5"/>
  <c r="AM504" i="5"/>
  <c r="AM7" i="5"/>
  <c r="AM442" i="5"/>
  <c r="AM94" i="5"/>
  <c r="AM440" i="5"/>
  <c r="AM82" i="5"/>
  <c r="AM403" i="5"/>
  <c r="AM8" i="5"/>
  <c r="AM168" i="5"/>
  <c r="AM281" i="5"/>
  <c r="AM238" i="5"/>
  <c r="AM53" i="5"/>
  <c r="AM242" i="5"/>
  <c r="AM392" i="5"/>
  <c r="AM528" i="5"/>
  <c r="AM257" i="5"/>
  <c r="AM445" i="5"/>
  <c r="AM410" i="5"/>
  <c r="AM520" i="5"/>
  <c r="AM279" i="5"/>
  <c r="AM297" i="5"/>
  <c r="AM98" i="5"/>
  <c r="AM315" i="5"/>
  <c r="AM350" i="5"/>
  <c r="AM96" i="5"/>
  <c r="AM478" i="5"/>
  <c r="AM129" i="5"/>
  <c r="AM132" i="5"/>
  <c r="AM537" i="5"/>
  <c r="AM540" i="5"/>
  <c r="AM494" i="5"/>
  <c r="AM515" i="5"/>
  <c r="AM274" i="5"/>
  <c r="AM147" i="5"/>
  <c r="AM553" i="5"/>
  <c r="AM489" i="5"/>
  <c r="AM88" i="5"/>
  <c r="AM434" i="5"/>
  <c r="AM89" i="5"/>
  <c r="AM166" i="5"/>
  <c r="AM531" i="5"/>
  <c r="AM292" i="5"/>
  <c r="AM128" i="5"/>
  <c r="AM177" i="5"/>
  <c r="AM12" i="5"/>
  <c r="AM171" i="5"/>
  <c r="AM369" i="5"/>
  <c r="AM198" i="5"/>
  <c r="AM192" i="5"/>
  <c r="AM209" i="5"/>
  <c r="AM444" i="5"/>
  <c r="AM38" i="5"/>
  <c r="AM304" i="5"/>
  <c r="AM212" i="5"/>
  <c r="AM194" i="5"/>
  <c r="AM345" i="5"/>
  <c r="AM267" i="5"/>
  <c r="AM40" i="5"/>
  <c r="AM71" i="5"/>
  <c r="AM482" i="5"/>
  <c r="AM405" i="5"/>
  <c r="AM360" i="5"/>
  <c r="AM252" i="5"/>
  <c r="AM441" i="5"/>
  <c r="AM138" i="5"/>
  <c r="AM332" i="5"/>
  <c r="AM60" i="5"/>
  <c r="AM331" i="5"/>
  <c r="AM178" i="5"/>
  <c r="AM241" i="5"/>
  <c r="AM67" i="5"/>
  <c r="AM535" i="5"/>
  <c r="AM185" i="5"/>
  <c r="AM384" i="5"/>
  <c r="AM173" i="5"/>
  <c r="AM560" i="5"/>
  <c r="AM312" i="5"/>
  <c r="AM180" i="5"/>
  <c r="AM46" i="5"/>
  <c r="AM439" i="5"/>
  <c r="AM95" i="5"/>
  <c r="AM337" i="5"/>
  <c r="AM121" i="5"/>
  <c r="AM365" i="5"/>
  <c r="AM338" i="5"/>
  <c r="AM273" i="5"/>
  <c r="AM134" i="5"/>
  <c r="AM506" i="5"/>
  <c r="AM137" i="5"/>
  <c r="AM154" i="5"/>
  <c r="AM254" i="5"/>
  <c r="AM99" i="5"/>
  <c r="AM234" i="5"/>
  <c r="AM65" i="5"/>
  <c r="AM364" i="5"/>
  <c r="AM512" i="5"/>
  <c r="AM411" i="5"/>
  <c r="AM522" i="5"/>
  <c r="AM514" i="5"/>
  <c r="AM316" i="5"/>
  <c r="AM471" i="5"/>
  <c r="AM523" i="5"/>
  <c r="AM183" i="5"/>
  <c r="AM91" i="5"/>
  <c r="AM211" i="5"/>
  <c r="AM529" i="5"/>
  <c r="AM277" i="5"/>
  <c r="AM249" i="5"/>
  <c r="AM401" i="5"/>
  <c r="AM310" i="5"/>
  <c r="AM308" i="5"/>
  <c r="AM473" i="5"/>
  <c r="AM394" i="5"/>
  <c r="AM162" i="5"/>
  <c r="AM105" i="5"/>
  <c r="AM374" i="5"/>
  <c r="AM370" i="5"/>
  <c r="AM195" i="5"/>
  <c r="AM386" i="5"/>
  <c r="AM133" i="5"/>
  <c r="AM170" i="5"/>
  <c r="AM421" i="5"/>
  <c r="AM496" i="5"/>
  <c r="AM457" i="5"/>
  <c r="AM240" i="5"/>
  <c r="AM151" i="5"/>
  <c r="AM109" i="5"/>
  <c r="AM85" i="5"/>
  <c r="AM435" i="5"/>
  <c r="AM516" i="5"/>
  <c r="AM381" i="5"/>
  <c r="AM317" i="5"/>
  <c r="AM159" i="5"/>
  <c r="AM125" i="5"/>
  <c r="AM551" i="5"/>
  <c r="AM371" i="5"/>
  <c r="AM70" i="5"/>
  <c r="AM228" i="5"/>
  <c r="AM349" i="5"/>
  <c r="AM142" i="5"/>
  <c r="AM111" i="5"/>
  <c r="AM492" i="5"/>
  <c r="AM399" i="5"/>
  <c r="AM107" i="5"/>
  <c r="AM33" i="5"/>
  <c r="AM336" i="5"/>
  <c r="AM283" i="5"/>
  <c r="AM47" i="5"/>
  <c r="AM243" i="5"/>
  <c r="AM207" i="5"/>
  <c r="AM406" i="5"/>
  <c r="AM184" i="5"/>
  <c r="AM108" i="5"/>
  <c r="AM58" i="5"/>
  <c r="AM296" i="5"/>
  <c r="AM334" i="5"/>
  <c r="AM388" i="5"/>
  <c r="AM27" i="5"/>
  <c r="AM226" i="5"/>
  <c r="AM366" i="5"/>
  <c r="AM42" i="5"/>
  <c r="AM466" i="5"/>
  <c r="AM34" i="5"/>
  <c r="AM426" i="5"/>
  <c r="AM230" i="5"/>
  <c r="AM477" i="5"/>
  <c r="AM389" i="5"/>
  <c r="AM223" i="5"/>
  <c r="AM54" i="5"/>
  <c r="AM395" i="5"/>
  <c r="AM526" i="5"/>
  <c r="AM416" i="5"/>
  <c r="AM36" i="5"/>
  <c r="AM302" i="5"/>
  <c r="AM448" i="5"/>
  <c r="AM517" i="5"/>
  <c r="AM282" i="5"/>
  <c r="AM559" i="5"/>
  <c r="AM291" i="5"/>
  <c r="AM188" i="5"/>
  <c r="AM24" i="5"/>
  <c r="AM469" i="5"/>
  <c r="AM290" i="5"/>
  <c r="AM92" i="5"/>
  <c r="AM422" i="5"/>
  <c r="AM539" i="5"/>
  <c r="AM87" i="5"/>
  <c r="AM114" i="5"/>
  <c r="AM116" i="5"/>
  <c r="AM465" i="5"/>
  <c r="AM548" i="5"/>
  <c r="AM245" i="5"/>
  <c r="AM227" i="5"/>
  <c r="AM379" i="5"/>
  <c r="AM153" i="5"/>
  <c r="AM221" i="5"/>
  <c r="AM140" i="5"/>
  <c r="AM509" i="5"/>
  <c r="AM525" i="5"/>
  <c r="AM23" i="5"/>
  <c r="AM59" i="5"/>
  <c r="AM328" i="5"/>
  <c r="AM547" i="5"/>
  <c r="AM260" i="5"/>
  <c r="AM387" i="5"/>
  <c r="AM354" i="5"/>
  <c r="AM160" i="5"/>
  <c r="AM68" i="5"/>
  <c r="AM390" i="5"/>
  <c r="AM112" i="5"/>
  <c r="AM393" i="5"/>
  <c r="AM552" i="5"/>
  <c r="AM327" i="5"/>
  <c r="AM35" i="5"/>
  <c r="AM476" i="5"/>
  <c r="AM44" i="5"/>
  <c r="AM503" i="5"/>
  <c r="AM303" i="5"/>
  <c r="AM172" i="5"/>
  <c r="AM157" i="5"/>
  <c r="AM538" i="5"/>
  <c r="AM100" i="5"/>
  <c r="AM483" i="5"/>
  <c r="AM443" i="5"/>
  <c r="AM546" i="5"/>
  <c r="AM186" i="5"/>
  <c r="AM72" i="5"/>
  <c r="AM73" i="5"/>
  <c r="AM181" i="5"/>
  <c r="AM499" i="5"/>
  <c r="AM413" i="5"/>
  <c r="AM458" i="5"/>
  <c r="AM155" i="5"/>
  <c r="AM77" i="5"/>
  <c r="AM268" i="5"/>
  <c r="AM450" i="5"/>
  <c r="AM127" i="5"/>
  <c r="AM408" i="5"/>
  <c r="AM26" i="5"/>
  <c r="AM265" i="5"/>
  <c r="AM447" i="5"/>
  <c r="AM266" i="5"/>
  <c r="AM490" i="5"/>
  <c r="AM146" i="5"/>
  <c r="AM519" i="5"/>
  <c r="AM103" i="5"/>
  <c r="AM474" i="5"/>
  <c r="AM348" i="5"/>
  <c r="AM197" i="5"/>
  <c r="AM508" i="5"/>
  <c r="AM463" i="5"/>
  <c r="AM158" i="5"/>
  <c r="AM117" i="5"/>
  <c r="AM533" i="5"/>
  <c r="AM81" i="5"/>
  <c r="AM106" i="5"/>
  <c r="AM41" i="5"/>
  <c r="AM452" i="5"/>
  <c r="AM110" i="5"/>
  <c r="AM437" i="5"/>
  <c r="AM361" i="5"/>
  <c r="AM48" i="5"/>
  <c r="AM217" i="5"/>
  <c r="AM298" i="5"/>
  <c r="AM423" i="5"/>
  <c r="AM502" i="5"/>
  <c r="AM124" i="5"/>
  <c r="AM239" i="5"/>
  <c r="AM149" i="5"/>
  <c r="AM200" i="5"/>
  <c r="AM19" i="5"/>
  <c r="AM352" i="5"/>
  <c r="AM343" i="5"/>
  <c r="AM558" i="5"/>
  <c r="AM438" i="5"/>
  <c r="AM271" i="5"/>
  <c r="AM55" i="5"/>
  <c r="AM342" i="5"/>
  <c r="AM49" i="5"/>
  <c r="AM373" i="5"/>
  <c r="AM287" i="5"/>
  <c r="AM378" i="5"/>
  <c r="AM446" i="5"/>
  <c r="AM491" i="5"/>
  <c r="AM13" i="5"/>
  <c r="AM203" i="5"/>
  <c r="AM119" i="5"/>
  <c r="AM368" i="5"/>
  <c r="AM542" i="5"/>
  <c r="AM270" i="5"/>
  <c r="AM480" i="5"/>
  <c r="AM84" i="5"/>
  <c r="AM22" i="5"/>
  <c r="AM459" i="5"/>
  <c r="AM398" i="5"/>
  <c r="AM164" i="5"/>
  <c r="AM43" i="5"/>
  <c r="AM246" i="5"/>
  <c r="AM250" i="5"/>
  <c r="AM253" i="5"/>
  <c r="AM263" i="5"/>
  <c r="AM148" i="5"/>
  <c r="AM62" i="5"/>
  <c r="AM61" i="5"/>
  <c r="AM479" i="5"/>
  <c r="AM97" i="5"/>
  <c r="AM258" i="5"/>
  <c r="AM141" i="5"/>
  <c r="AM418" i="5"/>
  <c r="AM307" i="5"/>
  <c r="AM419" i="5"/>
  <c r="AM377" i="5"/>
  <c r="AM208" i="5"/>
  <c r="AM382" i="5"/>
  <c r="AM220" i="5"/>
  <c r="AM461" i="5"/>
  <c r="AM541" i="5"/>
  <c r="AM305" i="5"/>
  <c r="AM126" i="5"/>
  <c r="AM309" i="5"/>
  <c r="AM536" i="5"/>
  <c r="AM193" i="5"/>
  <c r="AM449" i="5"/>
  <c r="AM460" i="5"/>
  <c r="AM518" i="5"/>
  <c r="AM333" i="5"/>
  <c r="AM130" i="5"/>
  <c r="AM383" i="5"/>
  <c r="AM391" i="5"/>
  <c r="AM39" i="5"/>
  <c r="AM28" i="5"/>
  <c r="AM123" i="5"/>
  <c r="AM432" i="5"/>
  <c r="AM430" i="5"/>
  <c r="AM380" i="5"/>
  <c r="AM244" i="5"/>
  <c r="AM375" i="5"/>
  <c r="AM163" i="5"/>
  <c r="AM189" i="5"/>
  <c r="AM115" i="5"/>
  <c r="AM169" i="5"/>
  <c r="AM396" i="5"/>
  <c r="AM313" i="5"/>
  <c r="AM83" i="5"/>
  <c r="AM190" i="5"/>
  <c r="AM280" i="5"/>
  <c r="AM25" i="5"/>
  <c r="AM363" i="5"/>
  <c r="AM152" i="5"/>
  <c r="AM255" i="5"/>
  <c r="U279" i="5"/>
  <c r="V279" i="5"/>
  <c r="U148" i="5"/>
  <c r="V148" i="5"/>
  <c r="V497" i="5"/>
  <c r="U497" i="5"/>
  <c r="V126" i="5"/>
  <c r="U126" i="5"/>
  <c r="V374" i="5"/>
  <c r="U374" i="5"/>
  <c r="U55" i="5"/>
  <c r="V55" i="5"/>
  <c r="V549" i="5"/>
  <c r="U549" i="5"/>
  <c r="U27" i="5"/>
  <c r="V27" i="5"/>
  <c r="U178" i="5"/>
  <c r="V178" i="5"/>
  <c r="U81" i="5"/>
  <c r="V81" i="5"/>
  <c r="V462" i="5"/>
  <c r="U462" i="5"/>
  <c r="U263" i="5"/>
  <c r="V263" i="5"/>
  <c r="U312" i="5"/>
  <c r="V312" i="5"/>
  <c r="U38" i="5"/>
  <c r="V38" i="5"/>
  <c r="V50" i="5"/>
  <c r="U50" i="5"/>
  <c r="V94" i="5"/>
  <c r="U94" i="5"/>
  <c r="U548" i="5"/>
  <c r="V548" i="5"/>
  <c r="V120" i="5"/>
  <c r="U120" i="5"/>
  <c r="V428" i="5"/>
  <c r="U428" i="5"/>
  <c r="U31" i="5"/>
  <c r="V31" i="5"/>
  <c r="V141" i="5"/>
  <c r="U141" i="5"/>
  <c r="V452" i="5"/>
  <c r="U452" i="5"/>
  <c r="V153" i="5"/>
  <c r="U153" i="5"/>
  <c r="V546" i="5"/>
  <c r="U546" i="5"/>
  <c r="U450" i="5"/>
  <c r="V450" i="5"/>
  <c r="V250" i="5"/>
  <c r="U250" i="5"/>
  <c r="V91" i="5"/>
  <c r="U91" i="5"/>
  <c r="U194" i="5"/>
  <c r="V194" i="5"/>
  <c r="V353" i="5"/>
  <c r="U353" i="5"/>
  <c r="U307" i="5"/>
  <c r="V307" i="5"/>
  <c r="U422" i="5"/>
  <c r="V422" i="5"/>
  <c r="U538" i="5"/>
  <c r="V538" i="5"/>
  <c r="V433" i="5"/>
  <c r="U433" i="5"/>
  <c r="U300" i="5"/>
  <c r="V300" i="5"/>
  <c r="U166" i="5"/>
  <c r="V166" i="5"/>
  <c r="U358" i="5"/>
  <c r="V358" i="5"/>
  <c r="U118" i="5"/>
  <c r="V118" i="5"/>
  <c r="U436" i="5"/>
  <c r="V436" i="5"/>
  <c r="V26" i="5"/>
  <c r="U26" i="5"/>
  <c r="V272" i="5"/>
  <c r="U272" i="5"/>
  <c r="U326" i="5"/>
  <c r="V326" i="5"/>
  <c r="V528" i="5"/>
  <c r="U528" i="5"/>
  <c r="U518" i="5"/>
  <c r="V518" i="5"/>
  <c r="U318" i="5"/>
  <c r="V318" i="5"/>
  <c r="V35" i="5"/>
  <c r="U35" i="5"/>
  <c r="V180" i="5"/>
  <c r="U180" i="5"/>
  <c r="U366" i="5"/>
  <c r="V366" i="5"/>
  <c r="V331" i="5"/>
  <c r="U331" i="5"/>
  <c r="V343" i="5"/>
  <c r="U343" i="5"/>
  <c r="U426" i="5"/>
  <c r="V426" i="5"/>
  <c r="U541" i="5"/>
  <c r="V541" i="5"/>
  <c r="V95" i="5"/>
  <c r="U95" i="5"/>
  <c r="U271" i="5"/>
  <c r="V271" i="5"/>
  <c r="U411" i="5"/>
  <c r="V411" i="5"/>
  <c r="U510" i="5"/>
  <c r="V510" i="5"/>
  <c r="V237" i="5"/>
  <c r="U237" i="5"/>
  <c r="V275" i="5"/>
  <c r="U275" i="5"/>
  <c r="V47" i="5"/>
  <c r="U47" i="5"/>
  <c r="U472" i="5"/>
  <c r="V472" i="5"/>
  <c r="V430" i="5"/>
  <c r="U430" i="5"/>
  <c r="U534" i="5"/>
  <c r="V534" i="5"/>
  <c r="V131" i="5"/>
  <c r="U131" i="5"/>
  <c r="V523" i="5"/>
  <c r="U523" i="5"/>
  <c r="V390" i="5"/>
  <c r="U390" i="5"/>
  <c r="B73" i="5"/>
  <c r="AJ37" i="5" s="1"/>
  <c r="B36" i="5"/>
  <c r="B38" i="5" s="1"/>
  <c r="P37" i="5" s="1"/>
  <c r="B58" i="2"/>
  <c r="B108" i="2" s="1"/>
  <c r="B109" i="2" s="1"/>
  <c r="B77" i="5"/>
  <c r="AP37" i="5" s="1"/>
  <c r="B72" i="5"/>
  <c r="AI37" i="5" s="1"/>
  <c r="V120" i="4"/>
  <c r="U39" i="4"/>
  <c r="V308" i="5" l="1"/>
  <c r="V46" i="5"/>
  <c r="V203" i="5"/>
  <c r="U525" i="5"/>
  <c r="V391" i="5"/>
  <c r="V395" i="5"/>
  <c r="V198" i="5"/>
  <c r="V92" i="5"/>
  <c r="V513" i="5"/>
  <c r="V161" i="5"/>
  <c r="U221" i="5"/>
  <c r="V127" i="5"/>
  <c r="U105" i="5"/>
  <c r="U274" i="5"/>
  <c r="V182" i="5"/>
  <c r="V527" i="5"/>
  <c r="V405" i="5"/>
  <c r="V321" i="5"/>
  <c r="V23" i="5"/>
  <c r="U269" i="5"/>
  <c r="U190" i="5"/>
  <c r="V33" i="5"/>
  <c r="V211" i="5"/>
  <c r="U409" i="5"/>
  <c r="V383" i="5"/>
  <c r="U199" i="5"/>
  <c r="V96" i="5"/>
  <c r="V364" i="5"/>
  <c r="U360" i="5"/>
  <c r="U85" i="4"/>
  <c r="V514" i="5"/>
  <c r="V65" i="4"/>
  <c r="AM65" i="4" s="1"/>
  <c r="U231" i="5"/>
  <c r="V113" i="5"/>
  <c r="V434" i="5"/>
  <c r="U294" i="5"/>
  <c r="U162" i="5"/>
  <c r="U48" i="5"/>
  <c r="U100" i="5"/>
  <c r="V262" i="5"/>
  <c r="U208" i="5"/>
  <c r="U337" i="5"/>
  <c r="V340" i="5"/>
  <c r="V369" i="5"/>
  <c r="U25" i="5"/>
  <c r="U333" i="5"/>
  <c r="U88" i="5"/>
  <c r="V173" i="5"/>
  <c r="U277" i="5"/>
  <c r="U214" i="5"/>
  <c r="U454" i="5"/>
  <c r="V537" i="5"/>
  <c r="V480" i="5"/>
  <c r="U491" i="5"/>
  <c r="V206" i="5"/>
  <c r="U204" i="5"/>
  <c r="V254" i="5"/>
  <c r="AV11" i="4"/>
  <c r="V11" i="4"/>
  <c r="V59" i="5"/>
  <c r="U67" i="4"/>
  <c r="U29" i="5"/>
  <c r="V146" i="4"/>
  <c r="AM146" i="4" s="1"/>
  <c r="V42" i="5"/>
  <c r="AV73" i="4"/>
  <c r="V40" i="4"/>
  <c r="AM40" i="4" s="1"/>
  <c r="U125" i="4"/>
  <c r="AV120" i="4"/>
  <c r="AV146" i="4"/>
  <c r="AV99" i="4"/>
  <c r="V99" i="4"/>
  <c r="AM99" i="4" s="1"/>
  <c r="AV124" i="4"/>
  <c r="AV67" i="4"/>
  <c r="V124" i="4"/>
  <c r="AM124" i="4" s="1"/>
  <c r="AV57" i="4"/>
  <c r="AV75" i="4"/>
  <c r="V62" i="4"/>
  <c r="AM62" i="4" s="1"/>
  <c r="V23" i="4"/>
  <c r="W23" i="4" s="1"/>
  <c r="Y23" i="4" s="1"/>
  <c r="AR23" i="4" s="1"/>
  <c r="AV84" i="4"/>
  <c r="U61" i="4"/>
  <c r="AH61" i="4" s="1"/>
  <c r="AV90" i="4"/>
  <c r="U63" i="4"/>
  <c r="AH63" i="4" s="1"/>
  <c r="AV140" i="4"/>
  <c r="AE10" i="5"/>
  <c r="AD10" i="5"/>
  <c r="AF7" i="5"/>
  <c r="V44" i="4"/>
  <c r="W44" i="4" s="1"/>
  <c r="Y44" i="4" s="1"/>
  <c r="AR44" i="4" s="1"/>
  <c r="AV40" i="4"/>
  <c r="U44" i="4"/>
  <c r="AH44" i="4" s="1"/>
  <c r="U29" i="4"/>
  <c r="AH29" i="4" s="1"/>
  <c r="AV127" i="4"/>
  <c r="U128" i="4"/>
  <c r="AH128" i="4" s="1"/>
  <c r="V127" i="4"/>
  <c r="AM127" i="4" s="1"/>
  <c r="V75" i="4"/>
  <c r="AM75" i="4" s="1"/>
  <c r="AV128" i="4"/>
  <c r="U45" i="4"/>
  <c r="AH45" i="4" s="1"/>
  <c r="V132" i="4"/>
  <c r="AM132" i="4" s="1"/>
  <c r="V138" i="4"/>
  <c r="AM138" i="4" s="1"/>
  <c r="AV154" i="4"/>
  <c r="V50" i="4"/>
  <c r="AM50" i="4" s="1"/>
  <c r="AV86" i="4"/>
  <c r="V9" i="4"/>
  <c r="W9" i="4" s="1"/>
  <c r="Y9" i="4" s="1"/>
  <c r="AR9" i="4" s="1"/>
  <c r="AV71" i="4"/>
  <c r="V98" i="4"/>
  <c r="AM98" i="4" s="1"/>
  <c r="AV98" i="4"/>
  <c r="V150" i="4"/>
  <c r="AM150" i="4" s="1"/>
  <c r="V141" i="4"/>
  <c r="W141" i="4" s="1"/>
  <c r="Y141" i="4" s="1"/>
  <c r="AR141" i="4" s="1"/>
  <c r="V29" i="4"/>
  <c r="AM29" i="4" s="1"/>
  <c r="AV150" i="4"/>
  <c r="AV141" i="4"/>
  <c r="V45" i="4"/>
  <c r="AM45" i="4" s="1"/>
  <c r="V96" i="4"/>
  <c r="W96" i="4" s="1"/>
  <c r="Y96" i="4" s="1"/>
  <c r="AR96" i="4" s="1"/>
  <c r="AV63" i="4"/>
  <c r="U13" i="4"/>
  <c r="AH13" i="4" s="1"/>
  <c r="AV138" i="4"/>
  <c r="U90" i="4"/>
  <c r="AH90" i="4" s="1"/>
  <c r="AV23" i="4"/>
  <c r="U140" i="4"/>
  <c r="AH140" i="4" s="1"/>
  <c r="V61" i="4"/>
  <c r="AM61" i="4" s="1"/>
  <c r="V86" i="4"/>
  <c r="AM86" i="4" s="1"/>
  <c r="U50" i="4"/>
  <c r="AH50" i="4" s="1"/>
  <c r="AV151" i="4"/>
  <c r="AV119" i="4"/>
  <c r="U58" i="4"/>
  <c r="AH58" i="4" s="1"/>
  <c r="V89" i="4"/>
  <c r="W89" i="4" s="1"/>
  <c r="Y89" i="4" s="1"/>
  <c r="AR89" i="4" s="1"/>
  <c r="U100" i="4"/>
  <c r="AH100" i="4" s="1"/>
  <c r="U9" i="4"/>
  <c r="AH9" i="4" s="1"/>
  <c r="AV133" i="4"/>
  <c r="AV77" i="4"/>
  <c r="U77" i="4"/>
  <c r="AH77" i="4" s="1"/>
  <c r="AV22" i="4"/>
  <c r="V73" i="4"/>
  <c r="AM73" i="4" s="1"/>
  <c r="V154" i="4"/>
  <c r="AM154" i="4" s="1"/>
  <c r="V49" i="4"/>
  <c r="W49" i="4" s="1"/>
  <c r="Y49" i="4" s="1"/>
  <c r="AR49" i="4" s="1"/>
  <c r="V57" i="4"/>
  <c r="AM57" i="4" s="1"/>
  <c r="V84" i="4"/>
  <c r="W84" i="4" s="1"/>
  <c r="Y84" i="4" s="1"/>
  <c r="AR84" i="4" s="1"/>
  <c r="AV42" i="4"/>
  <c r="V112" i="4"/>
  <c r="AM112" i="4" s="1"/>
  <c r="U131" i="4"/>
  <c r="AH131" i="4" s="1"/>
  <c r="V42" i="4"/>
  <c r="W42" i="4" s="1"/>
  <c r="Y42" i="4" s="1"/>
  <c r="AR42" i="4" s="1"/>
  <c r="V105" i="4"/>
  <c r="AM105" i="4" s="1"/>
  <c r="U105" i="4"/>
  <c r="AH105" i="4" s="1"/>
  <c r="AV111" i="4"/>
  <c r="U17" i="4"/>
  <c r="AH17" i="4" s="1"/>
  <c r="V35" i="4"/>
  <c r="W35" i="4" s="1"/>
  <c r="Y35" i="4" s="1"/>
  <c r="AR35" i="4" s="1"/>
  <c r="AV30" i="4"/>
  <c r="U65" i="4"/>
  <c r="AH65" i="4" s="1"/>
  <c r="V31" i="4"/>
  <c r="W31" i="4" s="1"/>
  <c r="Y31" i="4" s="1"/>
  <c r="AR31" i="4" s="1"/>
  <c r="V134" i="4"/>
  <c r="AM134" i="4" s="1"/>
  <c r="AV31" i="4"/>
  <c r="AV94" i="4"/>
  <c r="V43" i="4"/>
  <c r="AM43" i="4" s="1"/>
  <c r="AV153" i="4"/>
  <c r="U30" i="4"/>
  <c r="AH30" i="4" s="1"/>
  <c r="V94" i="4"/>
  <c r="AM94" i="4" s="1"/>
  <c r="AV156" i="4"/>
  <c r="V156" i="4"/>
  <c r="AM156" i="4" s="1"/>
  <c r="U121" i="4"/>
  <c r="AH121" i="4" s="1"/>
  <c r="AV21" i="4"/>
  <c r="U153" i="4"/>
  <c r="AH153" i="4" s="1"/>
  <c r="AV19" i="4"/>
  <c r="V39" i="4"/>
  <c r="AM39" i="4" s="1"/>
  <c r="U19" i="4"/>
  <c r="V85" i="4"/>
  <c r="W85" i="4" s="1"/>
  <c r="Y85" i="4" s="1"/>
  <c r="AR85" i="4" s="1"/>
  <c r="U21" i="4"/>
  <c r="AH21" i="4" s="1"/>
  <c r="AV62" i="4"/>
  <c r="V80" i="4"/>
  <c r="AM80" i="4" s="1"/>
  <c r="AV129" i="4"/>
  <c r="AV49" i="4"/>
  <c r="U36" i="4"/>
  <c r="AH36" i="4" s="1"/>
  <c r="V66" i="4"/>
  <c r="AM66" i="4" s="1"/>
  <c r="AV54" i="4"/>
  <c r="V135" i="4"/>
  <c r="W135" i="4" s="1"/>
  <c r="Y135" i="4" s="1"/>
  <c r="AR135" i="4" s="1"/>
  <c r="AV34" i="4"/>
  <c r="U148" i="4"/>
  <c r="AH148" i="4" s="1"/>
  <c r="V145" i="4"/>
  <c r="AM145" i="4" s="1"/>
  <c r="V157" i="4"/>
  <c r="AM157" i="4" s="1"/>
  <c r="U157" i="4"/>
  <c r="AH157" i="4" s="1"/>
  <c r="V123" i="4"/>
  <c r="AM123" i="4" s="1"/>
  <c r="AV33" i="4"/>
  <c r="AV143" i="4"/>
  <c r="U123" i="4"/>
  <c r="AH123" i="4" s="1"/>
  <c r="U33" i="4"/>
  <c r="AH33" i="4" s="1"/>
  <c r="V118" i="4"/>
  <c r="W118" i="4" s="1"/>
  <c r="Y118" i="4" s="1"/>
  <c r="AR118" i="4" s="1"/>
  <c r="AV118" i="4"/>
  <c r="U52" i="4"/>
  <c r="AH52" i="4" s="1"/>
  <c r="V88" i="4"/>
  <c r="W88" i="4" s="1"/>
  <c r="Y88" i="4" s="1"/>
  <c r="AR88" i="4" s="1"/>
  <c r="U137" i="4"/>
  <c r="AH137" i="4" s="1"/>
  <c r="AV14" i="4"/>
  <c r="U88" i="4"/>
  <c r="AH88" i="4" s="1"/>
  <c r="V130" i="4"/>
  <c r="AM130" i="4" s="1"/>
  <c r="V125" i="4"/>
  <c r="AM125" i="4" s="1"/>
  <c r="V46" i="4"/>
  <c r="AM46" i="4" s="1"/>
  <c r="U92" i="4"/>
  <c r="AH92" i="4" s="1"/>
  <c r="U136" i="4"/>
  <c r="AH136" i="4" s="1"/>
  <c r="AV68" i="4"/>
  <c r="V113" i="4"/>
  <c r="U15" i="4"/>
  <c r="AH15" i="4" s="1"/>
  <c r="AV116" i="4"/>
  <c r="AV76" i="4"/>
  <c r="U116" i="4"/>
  <c r="AH116" i="4" s="1"/>
  <c r="U76" i="4"/>
  <c r="AH76" i="4" s="1"/>
  <c r="U68" i="4"/>
  <c r="AH68" i="4" s="1"/>
  <c r="V151" i="4"/>
  <c r="AM151" i="4" s="1"/>
  <c r="V24" i="4"/>
  <c r="W24" i="4" s="1"/>
  <c r="Y24" i="4" s="1"/>
  <c r="AR24" i="4" s="1"/>
  <c r="V106" i="4"/>
  <c r="W106" i="4" s="1"/>
  <c r="Y106" i="4" s="1"/>
  <c r="AR106" i="4" s="1"/>
  <c r="AV82" i="4"/>
  <c r="AV15" i="4"/>
  <c r="AV24" i="4"/>
  <c r="U106" i="4"/>
  <c r="AH106" i="4" s="1"/>
  <c r="V82" i="4"/>
  <c r="W82" i="4" s="1"/>
  <c r="Y82" i="4" s="1"/>
  <c r="AR82" i="4" s="1"/>
  <c r="AV113" i="4"/>
  <c r="V102" i="4"/>
  <c r="AM102" i="4" s="1"/>
  <c r="AV55" i="4"/>
  <c r="AV20" i="4"/>
  <c r="AV149" i="4"/>
  <c r="V144" i="4"/>
  <c r="AM144" i="4" s="1"/>
  <c r="V60" i="4"/>
  <c r="W60" i="4" s="1"/>
  <c r="Y60" i="4" s="1"/>
  <c r="AR60" i="4" s="1"/>
  <c r="V20" i="4"/>
  <c r="AM20" i="4" s="1"/>
  <c r="AV38" i="4"/>
  <c r="V149" i="4"/>
  <c r="AV102" i="4"/>
  <c r="V55" i="4"/>
  <c r="W55" i="4" s="1"/>
  <c r="Y55" i="4" s="1"/>
  <c r="AR55" i="4" s="1"/>
  <c r="AV144" i="4"/>
  <c r="AV60" i="4"/>
  <c r="AV136" i="4"/>
  <c r="V38" i="4"/>
  <c r="W38" i="4" s="1"/>
  <c r="Y38" i="4" s="1"/>
  <c r="AR38" i="4" s="1"/>
  <c r="V10" i="4"/>
  <c r="AM10" i="4" s="1"/>
  <c r="AV41" i="4"/>
  <c r="U110" i="4"/>
  <c r="AH110" i="4" s="1"/>
  <c r="AV97" i="4"/>
  <c r="U41" i="4"/>
  <c r="AH41" i="4" s="1"/>
  <c r="V111" i="4"/>
  <c r="AM111" i="4" s="1"/>
  <c r="AV135" i="4"/>
  <c r="V34" i="4"/>
  <c r="AM34" i="4" s="1"/>
  <c r="V74" i="4"/>
  <c r="AM74" i="4" s="1"/>
  <c r="AV117" i="4"/>
  <c r="AV91" i="4"/>
  <c r="AV104" i="4"/>
  <c r="V71" i="4"/>
  <c r="AM71" i="4" s="1"/>
  <c r="V70" i="4"/>
  <c r="AM70" i="4" s="1"/>
  <c r="AV74" i="4"/>
  <c r="V117" i="4"/>
  <c r="W117" i="4" s="1"/>
  <c r="Y117" i="4" s="1"/>
  <c r="AR117" i="4" s="1"/>
  <c r="V91" i="4"/>
  <c r="AM91" i="4" s="1"/>
  <c r="V53" i="4"/>
  <c r="AM53" i="4" s="1"/>
  <c r="V104" i="4"/>
  <c r="W104" i="4" s="1"/>
  <c r="Y104" i="4" s="1"/>
  <c r="AR104" i="4" s="1"/>
  <c r="U70" i="4"/>
  <c r="AH70" i="4" s="1"/>
  <c r="V131" i="4"/>
  <c r="AM131" i="4" s="1"/>
  <c r="AV53" i="4"/>
  <c r="V110" i="4"/>
  <c r="W110" i="4" s="1"/>
  <c r="Y110" i="4" s="1"/>
  <c r="AR110" i="4" s="1"/>
  <c r="V133" i="4"/>
  <c r="AM133" i="4" s="1"/>
  <c r="V25" i="4"/>
  <c r="AM25" i="4" s="1"/>
  <c r="U112" i="4"/>
  <c r="AH112" i="4" s="1"/>
  <c r="U10" i="4"/>
  <c r="AH10" i="4" s="1"/>
  <c r="AV72" i="4"/>
  <c r="U79" i="4"/>
  <c r="AH79" i="4" s="1"/>
  <c r="V97" i="4"/>
  <c r="AM97" i="4" s="1"/>
  <c r="AV101" i="4"/>
  <c r="AV26" i="4"/>
  <c r="AV35" i="4"/>
  <c r="U37" i="4"/>
  <c r="V101" i="4"/>
  <c r="W101" i="4" s="1"/>
  <c r="Y101" i="4" s="1"/>
  <c r="AR101" i="4" s="1"/>
  <c r="V64" i="4"/>
  <c r="AM64" i="4" s="1"/>
  <c r="V72" i="4"/>
  <c r="AM72" i="4" s="1"/>
  <c r="U18" i="4"/>
  <c r="AH18" i="4" s="1"/>
  <c r="U26" i="4"/>
  <c r="AH26" i="4" s="1"/>
  <c r="V155" i="4"/>
  <c r="W155" i="4" s="1"/>
  <c r="Y155" i="4" s="1"/>
  <c r="AR155" i="4" s="1"/>
  <c r="U114" i="4"/>
  <c r="AH114" i="4" s="1"/>
  <c r="AV64" i="4"/>
  <c r="V100" i="4"/>
  <c r="AM100" i="4" s="1"/>
  <c r="V7" i="4"/>
  <c r="AM7" i="4" s="1"/>
  <c r="U78" i="4"/>
  <c r="AH78" i="4" s="1"/>
  <c r="AV32" i="4"/>
  <c r="V152" i="4"/>
  <c r="AM152" i="4" s="1"/>
  <c r="AV17" i="4"/>
  <c r="AV103" i="4"/>
  <c r="U142" i="4"/>
  <c r="AH142" i="4" s="1"/>
  <c r="AV66" i="4"/>
  <c r="U80" i="4"/>
  <c r="AH80" i="4" s="1"/>
  <c r="U54" i="4"/>
  <c r="AH54" i="4" s="1"/>
  <c r="V22" i="4"/>
  <c r="AM22" i="4" s="1"/>
  <c r="V12" i="4"/>
  <c r="AM12" i="4" s="1"/>
  <c r="U47" i="4"/>
  <c r="AH47" i="4" s="1"/>
  <c r="U129" i="4"/>
  <c r="AH129" i="4" s="1"/>
  <c r="V69" i="4"/>
  <c r="AM69" i="4" s="1"/>
  <c r="AV12" i="4"/>
  <c r="AV69" i="4"/>
  <c r="AV87" i="4"/>
  <c r="V103" i="4"/>
  <c r="AM103" i="4" s="1"/>
  <c r="V107" i="4"/>
  <c r="AM107" i="4" s="1"/>
  <c r="V36" i="4"/>
  <c r="AM36" i="4" s="1"/>
  <c r="V87" i="4"/>
  <c r="AM87" i="4" s="1"/>
  <c r="V83" i="4"/>
  <c r="AM83" i="4" s="1"/>
  <c r="AV96" i="4"/>
  <c r="AV155" i="4"/>
  <c r="AV18" i="4"/>
  <c r="V119" i="4"/>
  <c r="AM119" i="4" s="1"/>
  <c r="AV148" i="4"/>
  <c r="AV130" i="4"/>
  <c r="AV132" i="4"/>
  <c r="V28" i="4"/>
  <c r="W28" i="4" s="1"/>
  <c r="Y28" i="4" s="1"/>
  <c r="AR28" i="4" s="1"/>
  <c r="AV107" i="4"/>
  <c r="U109" i="4"/>
  <c r="AH109" i="4" s="1"/>
  <c r="V121" i="4"/>
  <c r="AM121" i="4" s="1"/>
  <c r="AV43" i="4"/>
  <c r="AV7" i="4"/>
  <c r="AV134" i="4"/>
  <c r="AV137" i="4"/>
  <c r="V114" i="4"/>
  <c r="AM114" i="4" s="1"/>
  <c r="V92" i="4"/>
  <c r="AM92" i="4" s="1"/>
  <c r="V58" i="4"/>
  <c r="W58" i="4" s="1"/>
  <c r="Y58" i="4" s="1"/>
  <c r="AR58" i="4" s="1"/>
  <c r="AV13" i="4"/>
  <c r="AV89" i="4"/>
  <c r="V81" i="4"/>
  <c r="AM81" i="4" s="1"/>
  <c r="AV37" i="4"/>
  <c r="U46" i="4"/>
  <c r="AH46" i="4" s="1"/>
  <c r="AV145" i="4"/>
  <c r="V143" i="4"/>
  <c r="AM143" i="4" s="1"/>
  <c r="V14" i="4"/>
  <c r="AM14" i="4" s="1"/>
  <c r="AV28" i="4"/>
  <c r="AV147" i="4"/>
  <c r="V147" i="4"/>
  <c r="AM147" i="4" s="1"/>
  <c r="AV59" i="4"/>
  <c r="V59" i="4"/>
  <c r="AM59" i="4" s="1"/>
  <c r="V52" i="4"/>
  <c r="AM52" i="4" s="1"/>
  <c r="AV56" i="4"/>
  <c r="AV78" i="4"/>
  <c r="U32" i="4"/>
  <c r="AH32" i="4" s="1"/>
  <c r="AV152" i="4"/>
  <c r="V56" i="4"/>
  <c r="AM56" i="4" s="1"/>
  <c r="V79" i="4"/>
  <c r="AM79" i="4" s="1"/>
  <c r="AV25" i="4"/>
  <c r="AV81" i="4"/>
  <c r="AV109" i="4"/>
  <c r="AV83" i="4"/>
  <c r="V122" i="4"/>
  <c r="W122" i="4" s="1"/>
  <c r="Y122" i="4" s="1"/>
  <c r="AR122" i="4" s="1"/>
  <c r="AV122" i="4"/>
  <c r="AV8" i="4"/>
  <c r="V8" i="4"/>
  <c r="AM8" i="4" s="1"/>
  <c r="V93" i="4"/>
  <c r="AM93" i="4" s="1"/>
  <c r="V16" i="4"/>
  <c r="W16" i="4" s="1"/>
  <c r="Y16" i="4" s="1"/>
  <c r="AR16" i="4" s="1"/>
  <c r="AV93" i="4"/>
  <c r="AV142" i="4"/>
  <c r="AV16" i="4"/>
  <c r="V47" i="4"/>
  <c r="AM47" i="4" s="1"/>
  <c r="V95" i="4"/>
  <c r="AM95" i="4" s="1"/>
  <c r="V108" i="4"/>
  <c r="W108" i="4" s="1"/>
  <c r="Y108" i="4" s="1"/>
  <c r="AR108" i="4" s="1"/>
  <c r="V48" i="4"/>
  <c r="AM48" i="4" s="1"/>
  <c r="V139" i="4"/>
  <c r="AM139" i="4" s="1"/>
  <c r="V27" i="4"/>
  <c r="W27" i="4" s="1"/>
  <c r="Y27" i="4" s="1"/>
  <c r="AR27" i="4" s="1"/>
  <c r="U95" i="4"/>
  <c r="AH95" i="4" s="1"/>
  <c r="AV108" i="4"/>
  <c r="AV48" i="4"/>
  <c r="AV139" i="4"/>
  <c r="AV27" i="4"/>
  <c r="AV126" i="4"/>
  <c r="AV115" i="4"/>
  <c r="V126" i="4"/>
  <c r="AM126" i="4" s="1"/>
  <c r="V115" i="4"/>
  <c r="W115" i="4" s="1"/>
  <c r="Y115" i="4" s="1"/>
  <c r="AR115" i="4" s="1"/>
  <c r="AS37" i="5"/>
  <c r="AQ37" i="5"/>
  <c r="AR37" i="5"/>
  <c r="AK37" i="5"/>
  <c r="AL37" i="5"/>
  <c r="W11" i="4"/>
  <c r="Y11" i="4" s="1"/>
  <c r="AR11" i="4" s="1"/>
  <c r="AM11" i="4"/>
  <c r="AM19" i="4"/>
  <c r="W19" i="4"/>
  <c r="Y19" i="4" s="1"/>
  <c r="AR19" i="4" s="1"/>
  <c r="AH150" i="4"/>
  <c r="B251" i="2"/>
  <c r="B59" i="2"/>
  <c r="B259" i="2"/>
  <c r="K97" i="2"/>
  <c r="B61" i="2"/>
  <c r="B62" i="2" s="1"/>
  <c r="H27" i="1" s="1"/>
  <c r="B256" i="2"/>
  <c r="B257" i="2" s="1"/>
  <c r="B86" i="2"/>
  <c r="B89" i="2" s="1"/>
  <c r="B90" i="2" s="1"/>
  <c r="H31" i="1" s="1"/>
  <c r="B116" i="2"/>
  <c r="B74" i="5"/>
  <c r="AJ396" i="5"/>
  <c r="AJ387" i="5"/>
  <c r="AJ458" i="5"/>
  <c r="AJ102" i="5"/>
  <c r="AJ502" i="5"/>
  <c r="AJ73" i="5"/>
  <c r="AJ482" i="5"/>
  <c r="AJ325" i="5"/>
  <c r="AJ541" i="5"/>
  <c r="AJ372" i="5"/>
  <c r="AJ386" i="5"/>
  <c r="AJ489" i="5"/>
  <c r="AJ148" i="5"/>
  <c r="AJ248" i="5"/>
  <c r="AJ382" i="5"/>
  <c r="AJ249" i="5"/>
  <c r="AJ54" i="5"/>
  <c r="AJ395" i="5"/>
  <c r="AJ491" i="5"/>
  <c r="AJ464" i="5"/>
  <c r="AJ535" i="5"/>
  <c r="AJ94" i="5"/>
  <c r="AJ343" i="5"/>
  <c r="AJ443" i="5"/>
  <c r="AJ351" i="5"/>
  <c r="AJ150" i="5"/>
  <c r="AJ451" i="5"/>
  <c r="AJ273" i="5"/>
  <c r="AJ513" i="5"/>
  <c r="AJ350" i="5"/>
  <c r="AJ68" i="5"/>
  <c r="AJ432" i="5"/>
  <c r="AJ509" i="5"/>
  <c r="AJ341" i="5"/>
  <c r="AJ213" i="5"/>
  <c r="AJ45" i="5"/>
  <c r="AJ552" i="5"/>
  <c r="AJ416" i="5"/>
  <c r="AJ560" i="5"/>
  <c r="AJ324" i="5"/>
  <c r="AJ525" i="5"/>
  <c r="AJ245" i="5"/>
  <c r="AJ252" i="5"/>
  <c r="AJ405" i="5"/>
  <c r="AJ234" i="5"/>
  <c r="AJ441" i="5"/>
  <c r="AJ233" i="5"/>
  <c r="AJ390" i="5"/>
  <c r="AJ197" i="5"/>
  <c r="AJ483" i="5"/>
  <c r="AJ136" i="5"/>
  <c r="AJ163" i="5"/>
  <c r="AJ557" i="5"/>
  <c r="AJ331" i="5"/>
  <c r="AJ512" i="5"/>
  <c r="AJ459" i="5"/>
  <c r="AJ460" i="5"/>
  <c r="AJ411" i="5"/>
  <c r="AJ326" i="5"/>
  <c r="AJ62" i="5"/>
  <c r="AJ125" i="5"/>
  <c r="AJ244" i="5"/>
  <c r="AJ164" i="5"/>
  <c r="AJ385" i="5"/>
  <c r="AJ228" i="5"/>
  <c r="AJ30" i="5"/>
  <c r="AJ13" i="5"/>
  <c r="AJ380" i="5"/>
  <c r="AJ277" i="5"/>
  <c r="AJ476" i="5"/>
  <c r="AJ327" i="5"/>
  <c r="AJ131" i="5"/>
  <c r="AJ59" i="5"/>
  <c r="AJ511" i="5"/>
  <c r="AJ105" i="5"/>
  <c r="AJ184" i="5"/>
  <c r="AJ379" i="5"/>
  <c r="AJ301" i="5"/>
  <c r="AJ60" i="5"/>
  <c r="AJ153" i="5"/>
  <c r="AJ302" i="5"/>
  <c r="AJ291" i="5"/>
  <c r="AJ126" i="5"/>
  <c r="AJ212" i="5"/>
  <c r="AJ298" i="5"/>
  <c r="AJ462" i="5"/>
  <c r="AJ354" i="5"/>
  <c r="AJ254" i="5"/>
  <c r="AJ89" i="5"/>
  <c r="AJ122" i="5"/>
  <c r="AJ453" i="5"/>
  <c r="AJ100" i="5"/>
  <c r="AJ152" i="5"/>
  <c r="AJ296" i="5"/>
  <c r="AJ329" i="5"/>
  <c r="AJ323" i="5"/>
  <c r="AJ250" i="5"/>
  <c r="AJ193" i="5"/>
  <c r="AJ496" i="5"/>
  <c r="AJ335" i="5"/>
  <c r="AJ392" i="5"/>
  <c r="AJ220" i="5"/>
  <c r="AJ214" i="5"/>
  <c r="AJ356" i="5"/>
  <c r="AJ237" i="5"/>
  <c r="AJ232" i="5"/>
  <c r="AJ93" i="5"/>
  <c r="AJ481" i="5"/>
  <c r="AJ420" i="5"/>
  <c r="AJ192" i="5"/>
  <c r="AJ352" i="5"/>
  <c r="AJ400" i="5"/>
  <c r="AJ394" i="5"/>
  <c r="AJ465" i="5"/>
  <c r="AJ86" i="5"/>
  <c r="AJ478" i="5"/>
  <c r="AJ280" i="5"/>
  <c r="AJ313" i="5"/>
  <c r="AJ207" i="5"/>
  <c r="AJ332" i="5"/>
  <c r="AJ516" i="5"/>
  <c r="AJ215" i="5"/>
  <c r="AJ471" i="5"/>
  <c r="AJ498" i="5"/>
  <c r="AJ257" i="5"/>
  <c r="AJ51" i="5"/>
  <c r="AJ304" i="5"/>
  <c r="AJ107" i="5"/>
  <c r="AJ437" i="5"/>
  <c r="AJ64" i="5"/>
  <c r="AJ200" i="5"/>
  <c r="AJ253" i="5"/>
  <c r="AJ553" i="5"/>
  <c r="AJ438" i="5"/>
  <c r="AJ256" i="5"/>
  <c r="AJ264" i="5"/>
  <c r="AJ31" i="5"/>
  <c r="AJ519" i="5"/>
  <c r="AJ190" i="5"/>
  <c r="AJ179" i="5"/>
  <c r="AJ57" i="5"/>
  <c r="AJ120" i="5"/>
  <c r="AJ428" i="5"/>
  <c r="AJ55" i="5"/>
  <c r="AJ168" i="5"/>
  <c r="AJ71" i="5"/>
  <c r="AJ209" i="5"/>
  <c r="AJ151" i="5"/>
  <c r="AJ206" i="5"/>
  <c r="AJ521" i="5"/>
  <c r="AJ83" i="5"/>
  <c r="AJ527" i="5"/>
  <c r="AJ146" i="5"/>
  <c r="AJ430" i="5"/>
  <c r="AJ260" i="5"/>
  <c r="AJ370" i="5"/>
  <c r="AJ312" i="5"/>
  <c r="AJ503" i="5"/>
  <c r="AJ144" i="5"/>
  <c r="AJ35" i="5"/>
  <c r="AJ101" i="5"/>
  <c r="AJ159" i="5"/>
  <c r="AJ337" i="5"/>
  <c r="AJ365" i="5"/>
  <c r="AJ269" i="5"/>
  <c r="AJ424" i="5"/>
  <c r="AJ25" i="5"/>
  <c r="AJ227" i="5"/>
  <c r="AJ545" i="5"/>
  <c r="AJ495" i="5"/>
  <c r="AJ409" i="5"/>
  <c r="AJ508" i="5"/>
  <c r="AJ461" i="5"/>
  <c r="AJ391" i="5"/>
  <c r="AJ119" i="5"/>
  <c r="AJ188" i="5"/>
  <c r="AJ172" i="5"/>
  <c r="AJ127" i="5"/>
  <c r="AJ279" i="5"/>
  <c r="AJ558" i="5"/>
  <c r="AJ288" i="5"/>
  <c r="AJ7" i="5"/>
  <c r="AJ429" i="5"/>
  <c r="AJ141" i="5"/>
  <c r="AJ346" i="5"/>
  <c r="AJ274" i="5"/>
  <c r="AJ134" i="5"/>
  <c r="AJ469" i="5"/>
  <c r="AJ315" i="5"/>
  <c r="AJ510" i="5"/>
  <c r="AJ417" i="5"/>
  <c r="AJ285" i="5"/>
  <c r="AJ247" i="5"/>
  <c r="AJ311" i="5"/>
  <c r="AJ161" i="5"/>
  <c r="AJ79" i="5"/>
  <c r="AJ507" i="5"/>
  <c r="AJ36" i="5"/>
  <c r="AJ29" i="5"/>
  <c r="AJ317" i="5"/>
  <c r="AJ225" i="5"/>
  <c r="AJ80" i="5"/>
  <c r="AJ475" i="5"/>
  <c r="AJ241" i="5"/>
  <c r="AJ470" i="5"/>
  <c r="AJ403" i="5"/>
  <c r="AJ310" i="5"/>
  <c r="AJ27" i="5"/>
  <c r="AJ497" i="5"/>
  <c r="AJ547" i="5"/>
  <c r="AJ154" i="5"/>
  <c r="AJ448" i="5"/>
  <c r="AJ413" i="5"/>
  <c r="AJ540" i="5"/>
  <c r="AJ375" i="5"/>
  <c r="AJ494" i="5"/>
  <c r="AJ485" i="5"/>
  <c r="AJ196" i="5"/>
  <c r="AJ406" i="5"/>
  <c r="AJ490" i="5"/>
  <c r="AJ504" i="5"/>
  <c r="AJ531" i="5"/>
  <c r="AJ529" i="5"/>
  <c r="AJ174" i="5"/>
  <c r="AJ330" i="5"/>
  <c r="AJ98" i="5"/>
  <c r="AJ143" i="5"/>
  <c r="AJ108" i="5"/>
  <c r="AJ284" i="5"/>
  <c r="AJ542" i="5"/>
  <c r="AJ46" i="5"/>
  <c r="AJ113" i="5"/>
  <c r="AJ96" i="5"/>
  <c r="AJ431" i="5"/>
  <c r="AJ342" i="5"/>
  <c r="AJ240" i="5"/>
  <c r="AJ528" i="5"/>
  <c r="AJ299" i="5"/>
  <c r="AJ183" i="5"/>
  <c r="AJ77" i="5"/>
  <c r="AJ381" i="5"/>
  <c r="AJ340" i="5"/>
  <c r="AJ28" i="5"/>
  <c r="AJ418" i="5"/>
  <c r="AJ486" i="5"/>
  <c r="AJ549" i="5"/>
  <c r="AJ421" i="5"/>
  <c r="AJ263" i="5"/>
  <c r="AJ555" i="5"/>
  <c r="AJ283" i="5"/>
  <c r="AJ357" i="5"/>
  <c r="AJ336" i="5"/>
  <c r="AJ149" i="5"/>
  <c r="AJ70" i="5"/>
  <c r="AJ477" i="5"/>
  <c r="AJ84" i="5"/>
  <c r="AJ308" i="5"/>
  <c r="AJ369" i="5"/>
  <c r="AJ49" i="5"/>
  <c r="AJ88" i="5"/>
  <c r="AJ419" i="5"/>
  <c r="AJ39" i="5"/>
  <c r="AJ158" i="5"/>
  <c r="AJ226" i="5"/>
  <c r="AJ384" i="5"/>
  <c r="AJ364" i="5"/>
  <c r="AJ157" i="5"/>
  <c r="AJ194" i="5"/>
  <c r="AJ466" i="5"/>
  <c r="AJ235" i="5"/>
  <c r="AJ106" i="5"/>
  <c r="AJ175" i="5"/>
  <c r="AJ393" i="5"/>
  <c r="AJ40" i="5"/>
  <c r="AJ265" i="5"/>
  <c r="AJ457" i="5"/>
  <c r="AJ219" i="5"/>
  <c r="AJ355" i="5"/>
  <c r="AJ132" i="5"/>
  <c r="AJ231" i="5"/>
  <c r="AJ90" i="5"/>
  <c r="AJ81" i="5"/>
  <c r="AJ103" i="5"/>
  <c r="AJ398" i="5"/>
  <c r="AJ128" i="5"/>
  <c r="AJ517" i="5"/>
  <c r="AJ537" i="5"/>
  <c r="AJ268" i="5"/>
  <c r="AJ78" i="5"/>
  <c r="AJ52" i="5"/>
  <c r="AJ427" i="5"/>
  <c r="AJ305" i="5"/>
  <c r="AJ121" i="5"/>
  <c r="AJ556" i="5"/>
  <c r="AJ534" i="5"/>
  <c r="AJ425" i="5"/>
  <c r="AJ300" i="5"/>
  <c r="AJ434" i="5"/>
  <c r="AJ347" i="5"/>
  <c r="AJ229" i="5"/>
  <c r="AJ309" i="5"/>
  <c r="AJ514" i="5"/>
  <c r="AJ147" i="5"/>
  <c r="AJ402" i="5"/>
  <c r="AJ551" i="5"/>
  <c r="AJ456" i="5"/>
  <c r="AJ23" i="5"/>
  <c r="AJ75" i="5"/>
  <c r="AJ47" i="5"/>
  <c r="AJ221" i="5"/>
  <c r="AJ123" i="5"/>
  <c r="AJ501" i="5"/>
  <c r="AJ116" i="5"/>
  <c r="AJ297" i="5"/>
  <c r="AJ559" i="5"/>
  <c r="AJ173" i="5"/>
  <c r="AJ440" i="5"/>
  <c r="AJ322" i="5"/>
  <c r="AJ290" i="5"/>
  <c r="AJ454" i="5"/>
  <c r="AJ242" i="5"/>
  <c r="AJ389" i="5"/>
  <c r="AJ468" i="5"/>
  <c r="AJ377" i="5"/>
  <c r="AJ34" i="5"/>
  <c r="AJ307" i="5"/>
  <c r="AJ243" i="5"/>
  <c r="AJ492" i="5"/>
  <c r="AJ176" i="5"/>
  <c r="AJ110" i="5"/>
  <c r="AJ195" i="5"/>
  <c r="AJ20" i="5"/>
  <c r="AJ261" i="5"/>
  <c r="AJ408" i="5"/>
  <c r="AJ112" i="5"/>
  <c r="AJ422" i="5"/>
  <c r="AJ383" i="5"/>
  <c r="AJ42" i="5"/>
  <c r="AJ333" i="5"/>
  <c r="AJ546" i="5"/>
  <c r="AJ61" i="5"/>
  <c r="AJ56" i="5"/>
  <c r="AJ239" i="5"/>
  <c r="AJ53" i="5"/>
  <c r="AJ169" i="5"/>
  <c r="AJ363" i="5"/>
  <c r="AJ349" i="5"/>
  <c r="AJ129" i="5"/>
  <c r="AJ69" i="5"/>
  <c r="AJ328" i="5"/>
  <c r="AJ452" i="5"/>
  <c r="AJ191" i="5"/>
  <c r="AJ138" i="5"/>
  <c r="AJ72" i="5"/>
  <c r="AJ114" i="5"/>
  <c r="AJ287" i="5"/>
  <c r="AJ368" i="5"/>
  <c r="AJ65" i="5"/>
  <c r="AJ423" i="5"/>
  <c r="AJ178" i="5"/>
  <c r="AJ316" i="5"/>
  <c r="AJ439" i="5"/>
  <c r="AJ518" i="5"/>
  <c r="AJ473" i="5"/>
  <c r="AJ401" i="5"/>
  <c r="AJ66" i="5"/>
  <c r="AJ58" i="5"/>
  <c r="AJ442" i="5"/>
  <c r="AJ410" i="5"/>
  <c r="AJ493" i="5"/>
  <c r="AJ201" i="5"/>
  <c r="AJ82" i="5"/>
  <c r="AJ426" i="5"/>
  <c r="AJ523" i="5"/>
  <c r="AJ435" i="5"/>
  <c r="AJ92" i="5"/>
  <c r="AJ463" i="5"/>
  <c r="AJ293" i="5"/>
  <c r="AJ204" i="5"/>
  <c r="AJ289" i="5"/>
  <c r="AJ447" i="5"/>
  <c r="AJ216" i="5"/>
  <c r="AJ505" i="5"/>
  <c r="AJ246" i="5"/>
  <c r="AJ208" i="5"/>
  <c r="AJ199" i="5"/>
  <c r="AJ189" i="5"/>
  <c r="AJ338" i="5"/>
  <c r="AJ321" i="5"/>
  <c r="AJ449" i="5"/>
  <c r="AJ276" i="5"/>
  <c r="AJ140" i="5"/>
  <c r="AJ111" i="5"/>
  <c r="AJ399" i="5"/>
  <c r="AJ33" i="5"/>
  <c r="AJ185" i="5"/>
  <c r="AJ165" i="5"/>
  <c r="AJ198" i="5"/>
  <c r="AJ479" i="5"/>
  <c r="AJ388" i="5"/>
  <c r="AJ303" i="5"/>
  <c r="AJ24" i="5"/>
  <c r="AJ415" i="5"/>
  <c r="AJ262" i="5"/>
  <c r="AJ320" i="5"/>
  <c r="AJ487" i="5"/>
  <c r="AJ404" i="5"/>
  <c r="AJ436" i="5"/>
  <c r="AJ530" i="5"/>
  <c r="AJ211" i="5"/>
  <c r="AJ538" i="5"/>
  <c r="AJ218" i="5"/>
  <c r="AJ286" i="5"/>
  <c r="AJ8" i="5"/>
  <c r="AJ360" i="5"/>
  <c r="AJ223" i="5"/>
  <c r="AJ142" i="5"/>
  <c r="AJ224" i="5"/>
  <c r="AJ367" i="5"/>
  <c r="AJ294" i="5"/>
  <c r="AJ550" i="5"/>
  <c r="AJ506" i="5"/>
  <c r="AJ117" i="5"/>
  <c r="AJ118" i="5"/>
  <c r="AJ397" i="5"/>
  <c r="AJ267" i="5"/>
  <c r="AJ474" i="5"/>
  <c r="AJ548" i="5"/>
  <c r="AJ374" i="5"/>
  <c r="AJ339" i="5"/>
  <c r="AJ41" i="5"/>
  <c r="AJ19" i="5"/>
  <c r="AJ63" i="5"/>
  <c r="AJ145" i="5"/>
  <c r="AJ74" i="5"/>
  <c r="AJ203" i="5"/>
  <c r="AJ217" i="5"/>
  <c r="AJ139" i="5"/>
  <c r="AJ554" i="5"/>
  <c r="AJ414" i="5"/>
  <c r="AJ44" i="5"/>
  <c r="AJ50" i="5"/>
  <c r="AJ275" i="5"/>
  <c r="AJ87" i="5"/>
  <c r="AJ536" i="5"/>
  <c r="AJ318" i="5"/>
  <c r="AJ38" i="5"/>
  <c r="AJ32" i="5"/>
  <c r="AJ251" i="5"/>
  <c r="AJ282" i="5"/>
  <c r="AJ271" i="5"/>
  <c r="AJ348" i="5"/>
  <c r="AJ97" i="5"/>
  <c r="AJ472" i="5"/>
  <c r="AJ353" i="5"/>
  <c r="AJ137" i="5"/>
  <c r="AJ67" i="5"/>
  <c r="AJ109" i="5"/>
  <c r="AJ376" i="5"/>
  <c r="AJ455" i="5"/>
  <c r="AJ258" i="5"/>
  <c r="AJ544" i="5"/>
  <c r="AJ292" i="5"/>
  <c r="AJ26" i="5"/>
  <c r="AJ130" i="5"/>
  <c r="AJ484" i="5"/>
  <c r="AJ278" i="5"/>
  <c r="AJ361" i="5"/>
  <c r="AJ167" i="5"/>
  <c r="AJ76" i="5"/>
  <c r="AJ371" i="5"/>
  <c r="AJ526" i="5"/>
  <c r="AJ270" i="5"/>
  <c r="AJ499" i="5"/>
  <c r="AJ450" i="5"/>
  <c r="AJ407" i="5"/>
  <c r="AJ124" i="5"/>
  <c r="AJ446" i="5"/>
  <c r="AJ344" i="5"/>
  <c r="AJ205" i="5"/>
  <c r="AJ272" i="5"/>
  <c r="AJ22" i="5"/>
  <c r="AJ281" i="5"/>
  <c r="AJ85" i="5"/>
  <c r="AJ334" i="5"/>
  <c r="AJ480" i="5"/>
  <c r="AJ467" i="5"/>
  <c r="AJ345" i="5"/>
  <c r="AJ43" i="5"/>
  <c r="AJ91" i="5"/>
  <c r="AJ543" i="5"/>
  <c r="AJ115" i="5"/>
  <c r="AJ230" i="5"/>
  <c r="AJ255" i="5"/>
  <c r="AJ236" i="5"/>
  <c r="AJ539" i="5"/>
  <c r="AJ358" i="5"/>
  <c r="AJ306" i="5"/>
  <c r="AJ373" i="5"/>
  <c r="AJ433" i="5"/>
  <c r="AJ520" i="5"/>
  <c r="AJ156" i="5"/>
  <c r="AJ186" i="5"/>
  <c r="AJ104" i="5"/>
  <c r="AJ362" i="5"/>
  <c r="AJ314" i="5"/>
  <c r="AJ181" i="5"/>
  <c r="AJ48" i="5"/>
  <c r="AJ171" i="5"/>
  <c r="AJ532" i="5"/>
  <c r="AJ266" i="5"/>
  <c r="AJ135" i="5"/>
  <c r="AJ222" i="5"/>
  <c r="AJ319" i="5"/>
  <c r="AJ95" i="5"/>
  <c r="AJ522" i="5"/>
  <c r="AJ378" i="5"/>
  <c r="AJ366" i="5"/>
  <c r="AJ99" i="5"/>
  <c r="AJ133" i="5"/>
  <c r="AJ202" i="5"/>
  <c r="AJ445" i="5"/>
  <c r="AJ177" i="5"/>
  <c r="AJ180" i="5"/>
  <c r="AJ162" i="5"/>
  <c r="AJ166" i="5"/>
  <c r="AJ488" i="5"/>
  <c r="AJ444" i="5"/>
  <c r="AJ155" i="5"/>
  <c r="AJ515" i="5"/>
  <c r="AJ500" i="5"/>
  <c r="AJ160" i="5"/>
  <c r="AJ295" i="5"/>
  <c r="AJ412" i="5"/>
  <c r="AJ359" i="5"/>
  <c r="AJ182" i="5"/>
  <c r="AJ524" i="5"/>
  <c r="AJ259" i="5"/>
  <c r="AJ210" i="5"/>
  <c r="AJ187" i="5"/>
  <c r="AJ170" i="5"/>
  <c r="AJ238" i="5"/>
  <c r="AJ21" i="5"/>
  <c r="AJ12" i="5"/>
  <c r="AJ533" i="5"/>
  <c r="AN313" i="5"/>
  <c r="AO313" i="5"/>
  <c r="AN380" i="5"/>
  <c r="AO380" i="5"/>
  <c r="AN130" i="5"/>
  <c r="AO130" i="5"/>
  <c r="AN126" i="5"/>
  <c r="AO126" i="5"/>
  <c r="AN419" i="5"/>
  <c r="AO419" i="5"/>
  <c r="AN62" i="5"/>
  <c r="AO62" i="5"/>
  <c r="AO398" i="5"/>
  <c r="AN398" i="5"/>
  <c r="AO119" i="5"/>
  <c r="AN119" i="5"/>
  <c r="AN49" i="5"/>
  <c r="AO49" i="5"/>
  <c r="AN19" i="5"/>
  <c r="AO19" i="5"/>
  <c r="AO217" i="5"/>
  <c r="AN217" i="5"/>
  <c r="AN81" i="5"/>
  <c r="AO81" i="5"/>
  <c r="AN474" i="5"/>
  <c r="AO474" i="5"/>
  <c r="AO26" i="5"/>
  <c r="AN26" i="5"/>
  <c r="AO413" i="5"/>
  <c r="AN413" i="5"/>
  <c r="AO483" i="5"/>
  <c r="AN483" i="5"/>
  <c r="AO476" i="5"/>
  <c r="AN476" i="5"/>
  <c r="AO160" i="5"/>
  <c r="AN160" i="5"/>
  <c r="AO525" i="5"/>
  <c r="AN525" i="5"/>
  <c r="AO548" i="5"/>
  <c r="AN548" i="5"/>
  <c r="AN290" i="5"/>
  <c r="AO290" i="5"/>
  <c r="AN448" i="5"/>
  <c r="AO448" i="5"/>
  <c r="AO389" i="5"/>
  <c r="AN389" i="5"/>
  <c r="AN226" i="5"/>
  <c r="AO226" i="5"/>
  <c r="AN406" i="5"/>
  <c r="AO406" i="5"/>
  <c r="AO399" i="5"/>
  <c r="AN399" i="5"/>
  <c r="AN551" i="5"/>
  <c r="AO551" i="5"/>
  <c r="AO109" i="5"/>
  <c r="AN109" i="5"/>
  <c r="AO133" i="5"/>
  <c r="AN133" i="5"/>
  <c r="AO473" i="5"/>
  <c r="AN473" i="5"/>
  <c r="AO91" i="5"/>
  <c r="AN91" i="5"/>
  <c r="AN512" i="5"/>
  <c r="AO512" i="5"/>
  <c r="AO506" i="5"/>
  <c r="AN506" i="5"/>
  <c r="AN439" i="5"/>
  <c r="AO439" i="5"/>
  <c r="AN535" i="5"/>
  <c r="AO535" i="5"/>
  <c r="AN441" i="5"/>
  <c r="AO441" i="5"/>
  <c r="AO345" i="5"/>
  <c r="AN345" i="5"/>
  <c r="AO198" i="5"/>
  <c r="AN198" i="5"/>
  <c r="AO166" i="5"/>
  <c r="AN166" i="5"/>
  <c r="AO515" i="5"/>
  <c r="AN515" i="5"/>
  <c r="AN350" i="5"/>
  <c r="AO350" i="5"/>
  <c r="AO257" i="5"/>
  <c r="AN257" i="5"/>
  <c r="AO8" i="5"/>
  <c r="AN8" i="5"/>
  <c r="AN497" i="5"/>
  <c r="AO497" i="5"/>
  <c r="AN402" i="5"/>
  <c r="AO402" i="5"/>
  <c r="AN275" i="5"/>
  <c r="AO275" i="5"/>
  <c r="AO486" i="5"/>
  <c r="AN486" i="5"/>
  <c r="AO299" i="5"/>
  <c r="AN299" i="5"/>
  <c r="AN311" i="5"/>
  <c r="AO311" i="5"/>
  <c r="AN286" i="5"/>
  <c r="AO286" i="5"/>
  <c r="AN50" i="5"/>
  <c r="AO50" i="5"/>
  <c r="AN453" i="5"/>
  <c r="AO453" i="5"/>
  <c r="AN417" i="5"/>
  <c r="AO417" i="5"/>
  <c r="AO120" i="5"/>
  <c r="AN120" i="5"/>
  <c r="AO104" i="5"/>
  <c r="AN104" i="5"/>
  <c r="AN505" i="5"/>
  <c r="AO505" i="5"/>
  <c r="AN339" i="5"/>
  <c r="AO339" i="5"/>
  <c r="AN74" i="5"/>
  <c r="AO74" i="5"/>
  <c r="AO330" i="5"/>
  <c r="AN330" i="5"/>
  <c r="AN329" i="5"/>
  <c r="AO329" i="5"/>
  <c r="AO397" i="5"/>
  <c r="AN397" i="5"/>
  <c r="AO57" i="5"/>
  <c r="AN57" i="5"/>
  <c r="AO530" i="5"/>
  <c r="AN530" i="5"/>
  <c r="AN259" i="5"/>
  <c r="AO259" i="5"/>
  <c r="AO131" i="5"/>
  <c r="AN131" i="5"/>
  <c r="AN285" i="5"/>
  <c r="AO285" i="5"/>
  <c r="AO425" i="5"/>
  <c r="AN425" i="5"/>
  <c r="AH8" i="4"/>
  <c r="AH145" i="4"/>
  <c r="AM76" i="4"/>
  <c r="W76" i="4"/>
  <c r="Y76" i="4" s="1"/>
  <c r="AR76" i="4" s="1"/>
  <c r="AH143" i="4"/>
  <c r="AH14" i="4"/>
  <c r="Y477" i="5"/>
  <c r="X477" i="5"/>
  <c r="Y423" i="5"/>
  <c r="X423" i="5"/>
  <c r="Y336" i="5"/>
  <c r="X336" i="5"/>
  <c r="X130" i="5"/>
  <c r="Y130" i="5"/>
  <c r="Y95" i="5"/>
  <c r="X95" i="5"/>
  <c r="X377" i="5"/>
  <c r="Y377" i="5"/>
  <c r="Y267" i="5"/>
  <c r="X267" i="5"/>
  <c r="X152" i="5"/>
  <c r="Y152" i="5"/>
  <c r="Y280" i="5"/>
  <c r="X280" i="5"/>
  <c r="X534" i="5"/>
  <c r="Y534" i="5"/>
  <c r="X328" i="5"/>
  <c r="Y328" i="5"/>
  <c r="X111" i="5"/>
  <c r="Y111" i="5"/>
  <c r="X340" i="5"/>
  <c r="Y340" i="5"/>
  <c r="Y379" i="5"/>
  <c r="X379" i="5"/>
  <c r="Y283" i="5"/>
  <c r="X283" i="5"/>
  <c r="X205" i="5"/>
  <c r="Y205" i="5"/>
  <c r="Y199" i="5"/>
  <c r="X199" i="5"/>
  <c r="X133" i="5"/>
  <c r="Y133" i="5"/>
  <c r="X210" i="5"/>
  <c r="Y210" i="5"/>
  <c r="Y265" i="5"/>
  <c r="X265" i="5"/>
  <c r="Y155" i="5"/>
  <c r="X155" i="5"/>
  <c r="X179" i="5"/>
  <c r="Y179" i="5"/>
  <c r="X24" i="5"/>
  <c r="Y24" i="5"/>
  <c r="Y520" i="5"/>
  <c r="X520" i="5"/>
  <c r="X413" i="5"/>
  <c r="Y413" i="5"/>
  <c r="Y481" i="5"/>
  <c r="X481" i="5"/>
  <c r="X305" i="5"/>
  <c r="Y305" i="5"/>
  <c r="Y326" i="5"/>
  <c r="X326" i="5"/>
  <c r="X171" i="5"/>
  <c r="Y171" i="5"/>
  <c r="X352" i="5"/>
  <c r="Y352" i="5"/>
  <c r="Y253" i="5"/>
  <c r="X253" i="5"/>
  <c r="X224" i="5"/>
  <c r="Y224" i="5"/>
  <c r="Y231" i="5"/>
  <c r="X231" i="5"/>
  <c r="Y391" i="5"/>
  <c r="X391" i="5"/>
  <c r="Y109" i="5"/>
  <c r="X109" i="5"/>
  <c r="Y264" i="5"/>
  <c r="X264" i="5"/>
  <c r="X20" i="5"/>
  <c r="Y20" i="5"/>
  <c r="X193" i="5"/>
  <c r="Y193" i="5"/>
  <c r="Y356" i="5"/>
  <c r="X356" i="5"/>
  <c r="X471" i="5"/>
  <c r="Y471" i="5"/>
  <c r="X476" i="5"/>
  <c r="Y476" i="5"/>
  <c r="Y198" i="5"/>
  <c r="X198" i="5"/>
  <c r="Y30" i="5"/>
  <c r="X30" i="5"/>
  <c r="Y102" i="5"/>
  <c r="X102" i="5"/>
  <c r="X212" i="5"/>
  <c r="Y212" i="5"/>
  <c r="X216" i="5"/>
  <c r="Y216" i="5"/>
  <c r="Y407" i="5"/>
  <c r="X407" i="5"/>
  <c r="Y366" i="5"/>
  <c r="X366" i="5"/>
  <c r="X201" i="5"/>
  <c r="Y201" i="5"/>
  <c r="X483" i="5"/>
  <c r="Y483" i="5"/>
  <c r="X87" i="5"/>
  <c r="Y87" i="5"/>
  <c r="Y341" i="5"/>
  <c r="X341" i="5"/>
  <c r="X278" i="5"/>
  <c r="Y278" i="5"/>
  <c r="Y330" i="5"/>
  <c r="X330" i="5"/>
  <c r="Y228" i="5"/>
  <c r="X228" i="5"/>
  <c r="X401" i="5"/>
  <c r="Y401" i="5"/>
  <c r="Y310" i="5"/>
  <c r="X310" i="5"/>
  <c r="X417" i="5"/>
  <c r="Y417" i="5"/>
  <c r="X206" i="5"/>
  <c r="Y206" i="5"/>
  <c r="Y166" i="5"/>
  <c r="X166" i="5"/>
  <c r="Y316" i="5"/>
  <c r="X316" i="5"/>
  <c r="X458" i="5"/>
  <c r="Y458" i="5"/>
  <c r="X368" i="5"/>
  <c r="Y368" i="5"/>
  <c r="Y140" i="5"/>
  <c r="X140" i="5"/>
  <c r="Y252" i="5"/>
  <c r="X252" i="5"/>
  <c r="X488" i="5"/>
  <c r="Y488" i="5"/>
  <c r="Y435" i="5"/>
  <c r="X435" i="5"/>
  <c r="AH135" i="4"/>
  <c r="B244" i="2"/>
  <c r="AH132" i="4"/>
  <c r="V7" i="5"/>
  <c r="U7" i="5"/>
  <c r="AH138" i="4"/>
  <c r="AH127" i="4"/>
  <c r="AN363" i="5"/>
  <c r="AO363" i="5"/>
  <c r="AM129" i="4"/>
  <c r="W129" i="4"/>
  <c r="Y129" i="4" s="1"/>
  <c r="AR129" i="4" s="1"/>
  <c r="AH133" i="4"/>
  <c r="AH75" i="4"/>
  <c r="AO255" i="5"/>
  <c r="AN255" i="5"/>
  <c r="AO396" i="5"/>
  <c r="AN396" i="5"/>
  <c r="AO430" i="5"/>
  <c r="AN430" i="5"/>
  <c r="AO333" i="5"/>
  <c r="AN333" i="5"/>
  <c r="AN305" i="5"/>
  <c r="AO305" i="5"/>
  <c r="AO307" i="5"/>
  <c r="AN307" i="5"/>
  <c r="AO148" i="5"/>
  <c r="AN148" i="5"/>
  <c r="AN459" i="5"/>
  <c r="AO459" i="5"/>
  <c r="AN203" i="5"/>
  <c r="AO203" i="5"/>
  <c r="AN342" i="5"/>
  <c r="AO342" i="5"/>
  <c r="AO200" i="5"/>
  <c r="AN200" i="5"/>
  <c r="AN48" i="5"/>
  <c r="AO48" i="5"/>
  <c r="AN533" i="5"/>
  <c r="AO533" i="5"/>
  <c r="AO103" i="5"/>
  <c r="AN103" i="5"/>
  <c r="AN408" i="5"/>
  <c r="AO408" i="5"/>
  <c r="AO499" i="5"/>
  <c r="AN499" i="5"/>
  <c r="AO100" i="5"/>
  <c r="AN100" i="5"/>
  <c r="AO35" i="5"/>
  <c r="AN35" i="5"/>
  <c r="AO354" i="5"/>
  <c r="AN354" i="5"/>
  <c r="AN509" i="5"/>
  <c r="AO509" i="5"/>
  <c r="AN465" i="5"/>
  <c r="AO465" i="5"/>
  <c r="AO469" i="5"/>
  <c r="AN469" i="5"/>
  <c r="AN302" i="5"/>
  <c r="AO302" i="5"/>
  <c r="AO477" i="5"/>
  <c r="AN477" i="5"/>
  <c r="AO27" i="5"/>
  <c r="AN27" i="5"/>
  <c r="AO207" i="5"/>
  <c r="AN207" i="5"/>
  <c r="AN492" i="5"/>
  <c r="AO492" i="5"/>
  <c r="AN125" i="5"/>
  <c r="AO125" i="5"/>
  <c r="AO151" i="5"/>
  <c r="AN151" i="5"/>
  <c r="AN386" i="5"/>
  <c r="AO386" i="5"/>
  <c r="AO308" i="5"/>
  <c r="AN308" i="5"/>
  <c r="AO183" i="5"/>
  <c r="AN183" i="5"/>
  <c r="AN364" i="5"/>
  <c r="AO364" i="5"/>
  <c r="AN134" i="5"/>
  <c r="AO134" i="5"/>
  <c r="AN46" i="5"/>
  <c r="AO46" i="5"/>
  <c r="AN67" i="5"/>
  <c r="AO67" i="5"/>
  <c r="AO252" i="5"/>
  <c r="AN252" i="5"/>
  <c r="AO194" i="5"/>
  <c r="AN194" i="5"/>
  <c r="AN369" i="5"/>
  <c r="AO369" i="5"/>
  <c r="AO89" i="5"/>
  <c r="AN89" i="5"/>
  <c r="AN494" i="5"/>
  <c r="AO494" i="5"/>
  <c r="AO315" i="5"/>
  <c r="AN315" i="5"/>
  <c r="AN528" i="5"/>
  <c r="AO528" i="5"/>
  <c r="AN403" i="5"/>
  <c r="AO403" i="5"/>
  <c r="AN527" i="5"/>
  <c r="AO527" i="5"/>
  <c r="AN335" i="5"/>
  <c r="AO335" i="5"/>
  <c r="AN69" i="5"/>
  <c r="AO69" i="5"/>
  <c r="AN325" i="5"/>
  <c r="AO325" i="5"/>
  <c r="AN135" i="5"/>
  <c r="AO135" i="5"/>
  <c r="AN507" i="5"/>
  <c r="AO507" i="5"/>
  <c r="AN51" i="5"/>
  <c r="AO51" i="5"/>
  <c r="AO549" i="5"/>
  <c r="AN549" i="5"/>
  <c r="AN204" i="5"/>
  <c r="AO204" i="5"/>
  <c r="AO470" i="5"/>
  <c r="AN470" i="5"/>
  <c r="AN150" i="5"/>
  <c r="AO150" i="5"/>
  <c r="AN78" i="5"/>
  <c r="AO78" i="5"/>
  <c r="AN357" i="5"/>
  <c r="AO357" i="5"/>
  <c r="AN231" i="5"/>
  <c r="AO231" i="5"/>
  <c r="AN340" i="5"/>
  <c r="AO340" i="5"/>
  <c r="AN550" i="5"/>
  <c r="AO550" i="5"/>
  <c r="AN351" i="5"/>
  <c r="AO351" i="5"/>
  <c r="AO367" i="5"/>
  <c r="AN367" i="5"/>
  <c r="AN236" i="5"/>
  <c r="AO236" i="5"/>
  <c r="AO485" i="5"/>
  <c r="AN485" i="5"/>
  <c r="AO215" i="5"/>
  <c r="AN215" i="5"/>
  <c r="AO468" i="5"/>
  <c r="AN468" i="5"/>
  <c r="AO362" i="5"/>
  <c r="AN362" i="5"/>
  <c r="AN216" i="5"/>
  <c r="AO216" i="5"/>
  <c r="AO93" i="5"/>
  <c r="AN93" i="5"/>
  <c r="AH108" i="4"/>
  <c r="AM17" i="4"/>
  <c r="W17" i="4"/>
  <c r="Y17" i="4" s="1"/>
  <c r="AR17" i="4" s="1"/>
  <c r="AH48" i="4"/>
  <c r="AH56" i="4"/>
  <c r="Y482" i="5"/>
  <c r="X482" i="5"/>
  <c r="X351" i="5"/>
  <c r="Y351" i="5"/>
  <c r="Y452" i="5"/>
  <c r="X452" i="5"/>
  <c r="Y255" i="5"/>
  <c r="X255" i="5"/>
  <c r="X313" i="5"/>
  <c r="Y313" i="5"/>
  <c r="X243" i="5"/>
  <c r="Y243" i="5"/>
  <c r="X233" i="5"/>
  <c r="Y233" i="5"/>
  <c r="X386" i="5"/>
  <c r="Y386" i="5"/>
  <c r="Y208" i="5"/>
  <c r="X208" i="5"/>
  <c r="Y375" i="5"/>
  <c r="X375" i="5"/>
  <c r="X412" i="5"/>
  <c r="Y412" i="5"/>
  <c r="Y296" i="5"/>
  <c r="X296" i="5"/>
  <c r="Y447" i="5"/>
  <c r="X447" i="5"/>
  <c r="Y23" i="5"/>
  <c r="X23" i="5"/>
  <c r="Y499" i="5"/>
  <c r="X499" i="5"/>
  <c r="Y288" i="5"/>
  <c r="X288" i="5"/>
  <c r="Y512" i="5"/>
  <c r="X512" i="5"/>
  <c r="X284" i="5"/>
  <c r="Y284" i="5"/>
  <c r="X186" i="5"/>
  <c r="Y186" i="5"/>
  <c r="Y506" i="5"/>
  <c r="X506" i="5"/>
  <c r="Y56" i="5"/>
  <c r="X56" i="5"/>
  <c r="Y113" i="5"/>
  <c r="X113" i="5"/>
  <c r="Y196" i="5"/>
  <c r="X196" i="5"/>
  <c r="Y450" i="5"/>
  <c r="X450" i="5"/>
  <c r="Y385" i="5"/>
  <c r="X385" i="5"/>
  <c r="Y203" i="5"/>
  <c r="X203" i="5"/>
  <c r="Y282" i="5"/>
  <c r="X282" i="5"/>
  <c r="Y478" i="5"/>
  <c r="X478" i="5"/>
  <c r="X455" i="5"/>
  <c r="Y455" i="5"/>
  <c r="X430" i="5"/>
  <c r="Y430" i="5"/>
  <c r="X256" i="5"/>
  <c r="Y256" i="5"/>
  <c r="Y83" i="5"/>
  <c r="X83" i="5"/>
  <c r="Y479" i="5"/>
  <c r="X479" i="5"/>
  <c r="X347" i="5"/>
  <c r="Y347" i="5"/>
  <c r="Y529" i="5"/>
  <c r="X529" i="5"/>
  <c r="X240" i="5"/>
  <c r="Y240" i="5"/>
  <c r="Y427" i="5"/>
  <c r="X427" i="5"/>
  <c r="Y180" i="5"/>
  <c r="X180" i="5"/>
  <c r="Y465" i="5"/>
  <c r="X465" i="5"/>
  <c r="Y183" i="5"/>
  <c r="X183" i="5"/>
  <c r="X346" i="5"/>
  <c r="Y346" i="5"/>
  <c r="Y501" i="5"/>
  <c r="X501" i="5"/>
  <c r="Y543" i="5"/>
  <c r="X543" i="5"/>
  <c r="Y167" i="5"/>
  <c r="X167" i="5"/>
  <c r="Y146" i="5"/>
  <c r="X146" i="5"/>
  <c r="Y97" i="5"/>
  <c r="X97" i="5"/>
  <c r="X170" i="5"/>
  <c r="Y170" i="5"/>
  <c r="X66" i="5"/>
  <c r="Y66" i="5"/>
  <c r="Y25" i="5"/>
  <c r="X25" i="5"/>
  <c r="X12" i="5"/>
  <c r="Y12" i="5"/>
  <c r="Y289" i="5"/>
  <c r="X289" i="5"/>
  <c r="X432" i="5"/>
  <c r="Y432" i="5"/>
  <c r="Y40" i="5"/>
  <c r="X40" i="5"/>
  <c r="Y88" i="5"/>
  <c r="X88" i="5"/>
  <c r="Y445" i="5"/>
  <c r="X445" i="5"/>
  <c r="Y259" i="5"/>
  <c r="X259" i="5"/>
  <c r="Y323" i="5"/>
  <c r="X323" i="5"/>
  <c r="Y531" i="5"/>
  <c r="X531" i="5"/>
  <c r="X420" i="5"/>
  <c r="Y420" i="5"/>
  <c r="X174" i="5"/>
  <c r="Y174" i="5"/>
  <c r="Y295" i="5"/>
  <c r="X295" i="5"/>
  <c r="X521" i="5"/>
  <c r="Y521" i="5"/>
  <c r="X437" i="5"/>
  <c r="Y437" i="5"/>
  <c r="Y442" i="5"/>
  <c r="X442" i="5"/>
  <c r="X345" i="5"/>
  <c r="Y345" i="5"/>
  <c r="X348" i="5"/>
  <c r="Y348" i="5"/>
  <c r="Y63" i="5"/>
  <c r="X63" i="5"/>
  <c r="X269" i="5"/>
  <c r="Y269" i="5"/>
  <c r="AH49" i="4"/>
  <c r="AH101" i="4"/>
  <c r="AH62" i="4"/>
  <c r="AM54" i="4"/>
  <c r="W54" i="4"/>
  <c r="Y54" i="4" s="1"/>
  <c r="AR54" i="4" s="1"/>
  <c r="AH42" i="4"/>
  <c r="R7" i="5"/>
  <c r="S7" i="5"/>
  <c r="AH53" i="4"/>
  <c r="AH104" i="4"/>
  <c r="AO152" i="5"/>
  <c r="AN152" i="5"/>
  <c r="AO169" i="5"/>
  <c r="AN169" i="5"/>
  <c r="AO432" i="5"/>
  <c r="AN432" i="5"/>
  <c r="AO518" i="5"/>
  <c r="AN518" i="5"/>
  <c r="AO541" i="5"/>
  <c r="AN541" i="5"/>
  <c r="AO418" i="5"/>
  <c r="AN418" i="5"/>
  <c r="AN263" i="5"/>
  <c r="AO263" i="5"/>
  <c r="AN22" i="5"/>
  <c r="AO22" i="5"/>
  <c r="AO13" i="5"/>
  <c r="AN13" i="5"/>
  <c r="AO55" i="5"/>
  <c r="AN55" i="5"/>
  <c r="AO149" i="5"/>
  <c r="AN149" i="5"/>
  <c r="AO361" i="5"/>
  <c r="AN361" i="5"/>
  <c r="AN117" i="5"/>
  <c r="AO117" i="5"/>
  <c r="AN519" i="5"/>
  <c r="AO519" i="5"/>
  <c r="AN127" i="5"/>
  <c r="AO127" i="5"/>
  <c r="AN181" i="5"/>
  <c r="AO181" i="5"/>
  <c r="AO538" i="5"/>
  <c r="AN538" i="5"/>
  <c r="AO327" i="5"/>
  <c r="AN327" i="5"/>
  <c r="AO387" i="5"/>
  <c r="AN387" i="5"/>
  <c r="AO140" i="5"/>
  <c r="AN140" i="5"/>
  <c r="AO116" i="5"/>
  <c r="AN116" i="5"/>
  <c r="AO24" i="5"/>
  <c r="AN24" i="5"/>
  <c r="AO36" i="5"/>
  <c r="AN36" i="5"/>
  <c r="AO230" i="5"/>
  <c r="AN230" i="5"/>
  <c r="AO388" i="5"/>
  <c r="AN388" i="5"/>
  <c r="AO243" i="5"/>
  <c r="AN243" i="5"/>
  <c r="AO111" i="5"/>
  <c r="AN111" i="5"/>
  <c r="AN159" i="5"/>
  <c r="AO159" i="5"/>
  <c r="AN240" i="5"/>
  <c r="AO240" i="5"/>
  <c r="AO195" i="5"/>
  <c r="AN195" i="5"/>
  <c r="AN310" i="5"/>
  <c r="AO310" i="5"/>
  <c r="AO523" i="5"/>
  <c r="AN523" i="5"/>
  <c r="AO65" i="5"/>
  <c r="AN65" i="5"/>
  <c r="AO273" i="5"/>
  <c r="AN273" i="5"/>
  <c r="AN180" i="5"/>
  <c r="AO180" i="5"/>
  <c r="AN241" i="5"/>
  <c r="AO241" i="5"/>
  <c r="AO360" i="5"/>
  <c r="AN360" i="5"/>
  <c r="AO212" i="5"/>
  <c r="AN212" i="5"/>
  <c r="AN171" i="5"/>
  <c r="AO171" i="5"/>
  <c r="AN434" i="5"/>
  <c r="AO434" i="5"/>
  <c r="AO540" i="5"/>
  <c r="AN540" i="5"/>
  <c r="AO98" i="5"/>
  <c r="AN98" i="5"/>
  <c r="AO392" i="5"/>
  <c r="AN392" i="5"/>
  <c r="AO82" i="5"/>
  <c r="AN82" i="5"/>
  <c r="AN554" i="5"/>
  <c r="AO554" i="5"/>
  <c r="AN90" i="5"/>
  <c r="AO90" i="5"/>
  <c r="AN102" i="5"/>
  <c r="AO102" i="5"/>
  <c r="AN454" i="5"/>
  <c r="AO454" i="5"/>
  <c r="AN555" i="5"/>
  <c r="AO555" i="5"/>
  <c r="AN29" i="5"/>
  <c r="AO29" i="5"/>
  <c r="AN165" i="5"/>
  <c r="AO165" i="5"/>
  <c r="AN182" i="5"/>
  <c r="AO182" i="5"/>
  <c r="AO358" i="5"/>
  <c r="AN358" i="5"/>
  <c r="AN202" i="5"/>
  <c r="AO202" i="5"/>
  <c r="AO295" i="5"/>
  <c r="AN295" i="5"/>
  <c r="AO101" i="5"/>
  <c r="AN101" i="5"/>
  <c r="AO66" i="5"/>
  <c r="AN66" i="5"/>
  <c r="AN475" i="5"/>
  <c r="AO475" i="5"/>
  <c r="AO191" i="5"/>
  <c r="AN191" i="5"/>
  <c r="AO52" i="5"/>
  <c r="AN52" i="5"/>
  <c r="AN524" i="5"/>
  <c r="AO524" i="5"/>
  <c r="AO156" i="5"/>
  <c r="AN156" i="5"/>
  <c r="AN86" i="5"/>
  <c r="AO86" i="5"/>
  <c r="AN136" i="5"/>
  <c r="AO136" i="5"/>
  <c r="AN30" i="5"/>
  <c r="AO30" i="5"/>
  <c r="AN248" i="5"/>
  <c r="AO248" i="5"/>
  <c r="AO451" i="5"/>
  <c r="AN451" i="5"/>
  <c r="AN113" i="5"/>
  <c r="AO113" i="5"/>
  <c r="AO462" i="5"/>
  <c r="AN462" i="5"/>
  <c r="AM116" i="4"/>
  <c r="W116" i="4"/>
  <c r="Y116" i="4" s="1"/>
  <c r="AR116" i="4" s="1"/>
  <c r="AZ10" i="5"/>
  <c r="Z10" i="5"/>
  <c r="AJ10" i="5"/>
  <c r="AP10" i="5"/>
  <c r="AM10" i="5"/>
  <c r="T10" i="5"/>
  <c r="W10" i="5"/>
  <c r="BC10" i="5"/>
  <c r="AW10" i="5"/>
  <c r="B112" i="2"/>
  <c r="H37" i="1" s="1"/>
  <c r="AH55" i="4"/>
  <c r="Y538" i="5"/>
  <c r="X538" i="5"/>
  <c r="X215" i="5"/>
  <c r="Y215" i="5"/>
  <c r="Y51" i="5"/>
  <c r="X51" i="5"/>
  <c r="X135" i="5"/>
  <c r="Y135" i="5"/>
  <c r="Y168" i="5"/>
  <c r="X168" i="5"/>
  <c r="X535" i="5"/>
  <c r="Y535" i="5"/>
  <c r="Y48" i="5"/>
  <c r="X48" i="5"/>
  <c r="Y250" i="5"/>
  <c r="X250" i="5"/>
  <c r="X514" i="5"/>
  <c r="Y514" i="5"/>
  <c r="X190" i="5"/>
  <c r="Y190" i="5"/>
  <c r="Y425" i="5"/>
  <c r="X425" i="5"/>
  <c r="X276" i="5"/>
  <c r="Y276" i="5"/>
  <c r="Y357" i="5"/>
  <c r="X357" i="5"/>
  <c r="Y144" i="5"/>
  <c r="X144" i="5"/>
  <c r="Y151" i="5"/>
  <c r="X151" i="5"/>
  <c r="Y64" i="5"/>
  <c r="X64" i="5"/>
  <c r="X473" i="5"/>
  <c r="Y473" i="5"/>
  <c r="Y306" i="5"/>
  <c r="X306" i="5"/>
  <c r="Y65" i="5"/>
  <c r="X65" i="5"/>
  <c r="Y59" i="5"/>
  <c r="X59" i="5"/>
  <c r="Y189" i="5"/>
  <c r="X189" i="5"/>
  <c r="X115" i="5"/>
  <c r="Y115" i="5"/>
  <c r="Y79" i="5"/>
  <c r="X79" i="5"/>
  <c r="Y117" i="5"/>
  <c r="X117" i="5"/>
  <c r="X496" i="5"/>
  <c r="Y496" i="5"/>
  <c r="X131" i="5"/>
  <c r="Y131" i="5"/>
  <c r="Y195" i="5"/>
  <c r="X195" i="5"/>
  <c r="Y544" i="5"/>
  <c r="X544" i="5"/>
  <c r="Y439" i="5"/>
  <c r="X439" i="5"/>
  <c r="Y552" i="5"/>
  <c r="X552" i="5"/>
  <c r="X142" i="5"/>
  <c r="Y142" i="5"/>
  <c r="X217" i="5"/>
  <c r="Y217" i="5"/>
  <c r="X426" i="5"/>
  <c r="Y426" i="5"/>
  <c r="X502" i="5"/>
  <c r="Y502" i="5"/>
  <c r="Y487" i="5"/>
  <c r="X487" i="5"/>
  <c r="Y211" i="5"/>
  <c r="X211" i="5"/>
  <c r="Y383" i="5"/>
  <c r="X383" i="5"/>
  <c r="X44" i="5"/>
  <c r="Y44" i="5"/>
  <c r="X463" i="5"/>
  <c r="Y463" i="5"/>
  <c r="Y85" i="5"/>
  <c r="X85" i="5"/>
  <c r="X410" i="5"/>
  <c r="Y410" i="5"/>
  <c r="Y408" i="5"/>
  <c r="X408" i="5"/>
  <c r="X31" i="5"/>
  <c r="Y31" i="5"/>
  <c r="X91" i="5"/>
  <c r="Y91" i="5"/>
  <c r="X321" i="5"/>
  <c r="Y321" i="5"/>
  <c r="X200" i="5"/>
  <c r="Y200" i="5"/>
  <c r="Y335" i="5"/>
  <c r="X335" i="5"/>
  <c r="Y393" i="5"/>
  <c r="X393" i="5"/>
  <c r="Y466" i="5"/>
  <c r="X466" i="5"/>
  <c r="Y422" i="5"/>
  <c r="X422" i="5"/>
  <c r="X495" i="5"/>
  <c r="Y495" i="5"/>
  <c r="X363" i="5"/>
  <c r="Y363" i="5"/>
  <c r="Y299" i="5"/>
  <c r="X299" i="5"/>
  <c r="Y28" i="5"/>
  <c r="X28" i="5"/>
  <c r="X149" i="5"/>
  <c r="Y149" i="5"/>
  <c r="Y232" i="5"/>
  <c r="X232" i="5"/>
  <c r="Y257" i="5"/>
  <c r="X257" i="5"/>
  <c r="Y515" i="5"/>
  <c r="X515" i="5"/>
  <c r="X353" i="5"/>
  <c r="Y353" i="5"/>
  <c r="X241" i="5"/>
  <c r="Y241" i="5"/>
  <c r="Y225" i="5"/>
  <c r="X225" i="5"/>
  <c r="X153" i="5"/>
  <c r="Y153" i="5"/>
  <c r="X314" i="5"/>
  <c r="Y314" i="5"/>
  <c r="X536" i="5"/>
  <c r="Y536" i="5"/>
  <c r="Y238" i="5"/>
  <c r="X238" i="5"/>
  <c r="Y325" i="5"/>
  <c r="X325" i="5"/>
  <c r="X19" i="5"/>
  <c r="Y19" i="5"/>
  <c r="Y446" i="5"/>
  <c r="X446" i="5"/>
  <c r="AH60" i="4"/>
  <c r="AM140" i="4"/>
  <c r="W140" i="4"/>
  <c r="Y140" i="4" s="1"/>
  <c r="AR140" i="4" s="1"/>
  <c r="AH134" i="4"/>
  <c r="AM137" i="4"/>
  <c r="W137" i="4"/>
  <c r="Y137" i="4" s="1"/>
  <c r="AR137" i="4" s="1"/>
  <c r="AH20" i="4"/>
  <c r="AH117" i="4"/>
  <c r="AH93" i="4"/>
  <c r="AH122" i="4"/>
  <c r="AH43" i="4"/>
  <c r="AM90" i="4"/>
  <c r="W90" i="4"/>
  <c r="Y90" i="4" s="1"/>
  <c r="AR90" i="4" s="1"/>
  <c r="AH86" i="4"/>
  <c r="B67" i="2"/>
  <c r="B69" i="2"/>
  <c r="B70" i="2" s="1"/>
  <c r="AN460" i="5"/>
  <c r="AO460" i="5"/>
  <c r="AO141" i="5"/>
  <c r="AN141" i="5"/>
  <c r="AO253" i="5"/>
  <c r="AN253" i="5"/>
  <c r="AN84" i="5"/>
  <c r="AO84" i="5"/>
  <c r="AO491" i="5"/>
  <c r="AN491" i="5"/>
  <c r="AO271" i="5"/>
  <c r="AN271" i="5"/>
  <c r="AN239" i="5"/>
  <c r="AO239" i="5"/>
  <c r="AN437" i="5"/>
  <c r="AO437" i="5"/>
  <c r="AO158" i="5"/>
  <c r="AN158" i="5"/>
  <c r="AO146" i="5"/>
  <c r="AN146" i="5"/>
  <c r="AO450" i="5"/>
  <c r="AN450" i="5"/>
  <c r="AO73" i="5"/>
  <c r="AN73" i="5"/>
  <c r="AN157" i="5"/>
  <c r="AO157" i="5"/>
  <c r="AN552" i="5"/>
  <c r="AO552" i="5"/>
  <c r="AN260" i="5"/>
  <c r="AO260" i="5"/>
  <c r="AO221" i="5"/>
  <c r="AN221" i="5"/>
  <c r="AN114" i="5"/>
  <c r="AO114" i="5"/>
  <c r="AN188" i="5"/>
  <c r="AO188" i="5"/>
  <c r="AO416" i="5"/>
  <c r="AN416" i="5"/>
  <c r="AN426" i="5"/>
  <c r="AO426" i="5"/>
  <c r="AN334" i="5"/>
  <c r="AO334" i="5"/>
  <c r="AO47" i="5"/>
  <c r="AN47" i="5"/>
  <c r="AN142" i="5"/>
  <c r="AO142" i="5"/>
  <c r="AO317" i="5"/>
  <c r="AN317" i="5"/>
  <c r="AO457" i="5"/>
  <c r="AN457" i="5"/>
  <c r="AO370" i="5"/>
  <c r="AN370" i="5"/>
  <c r="AN401" i="5"/>
  <c r="AO401" i="5"/>
  <c r="AN471" i="5"/>
  <c r="AO471" i="5"/>
  <c r="AN234" i="5"/>
  <c r="AO234" i="5"/>
  <c r="AO338" i="5"/>
  <c r="AN338" i="5"/>
  <c r="AO312" i="5"/>
  <c r="AN312" i="5"/>
  <c r="AO178" i="5"/>
  <c r="AN178" i="5"/>
  <c r="AN405" i="5"/>
  <c r="AO405" i="5"/>
  <c r="AN304" i="5"/>
  <c r="AO304" i="5"/>
  <c r="AN12" i="5"/>
  <c r="AO12" i="5"/>
  <c r="AN88" i="5"/>
  <c r="AO88" i="5"/>
  <c r="AO537" i="5"/>
  <c r="AN537" i="5"/>
  <c r="AN297" i="5"/>
  <c r="AO297" i="5"/>
  <c r="AN242" i="5"/>
  <c r="AO242" i="5"/>
  <c r="AN440" i="5"/>
  <c r="AO440" i="5"/>
  <c r="AO436" i="5"/>
  <c r="AN436" i="5"/>
  <c r="AO219" i="5"/>
  <c r="AN219" i="5"/>
  <c r="AN493" i="5"/>
  <c r="AO493" i="5"/>
  <c r="AN543" i="5"/>
  <c r="AO543" i="5"/>
  <c r="AO32" i="5"/>
  <c r="AN32" i="5"/>
  <c r="AN556" i="5"/>
  <c r="AO556" i="5"/>
  <c r="AO269" i="5"/>
  <c r="AN269" i="5"/>
  <c r="AO75" i="5"/>
  <c r="AN75" i="5"/>
  <c r="AN501" i="5"/>
  <c r="AO501" i="5"/>
  <c r="AN407" i="5"/>
  <c r="AO407" i="5"/>
  <c r="AO256" i="5"/>
  <c r="AN256" i="5"/>
  <c r="AN510" i="5"/>
  <c r="AO510" i="5"/>
  <c r="AO272" i="5"/>
  <c r="AN272" i="5"/>
  <c r="AN545" i="5"/>
  <c r="AO545" i="5"/>
  <c r="AN199" i="5"/>
  <c r="AO199" i="5"/>
  <c r="AN187" i="5"/>
  <c r="AO187" i="5"/>
  <c r="AN323" i="5"/>
  <c r="AO323" i="5"/>
  <c r="AN80" i="5"/>
  <c r="AO80" i="5"/>
  <c r="AO484" i="5"/>
  <c r="AN484" i="5"/>
  <c r="AN225" i="5"/>
  <c r="AO225" i="5"/>
  <c r="AN320" i="5"/>
  <c r="AO320" i="5"/>
  <c r="AO495" i="5"/>
  <c r="AN495" i="5"/>
  <c r="AN385" i="5"/>
  <c r="AO385" i="5"/>
  <c r="AN301" i="5"/>
  <c r="AO301" i="5"/>
  <c r="AN415" i="5"/>
  <c r="AO415" i="5"/>
  <c r="AH25" i="4"/>
  <c r="AM128" i="4"/>
  <c r="W128" i="4"/>
  <c r="Y128" i="4" s="1"/>
  <c r="AR128" i="4" s="1"/>
  <c r="AH31" i="4"/>
  <c r="W124" i="4"/>
  <c r="Y124" i="4" s="1"/>
  <c r="AR124" i="4" s="1"/>
  <c r="AH94" i="4"/>
  <c r="AH156" i="4"/>
  <c r="Y480" i="5"/>
  <c r="X480" i="5"/>
  <c r="Y71" i="5"/>
  <c r="X71" i="5"/>
  <c r="X553" i="5"/>
  <c r="Y553" i="5"/>
  <c r="Y197" i="5"/>
  <c r="X197" i="5"/>
  <c r="Y533" i="5"/>
  <c r="X533" i="5"/>
  <c r="X150" i="5"/>
  <c r="Y150" i="5"/>
  <c r="X494" i="5"/>
  <c r="Y494" i="5"/>
  <c r="X129" i="5"/>
  <c r="Y129" i="5"/>
  <c r="Y293" i="5"/>
  <c r="X293" i="5"/>
  <c r="X67" i="5"/>
  <c r="Y67" i="5"/>
  <c r="Y46" i="5"/>
  <c r="X46" i="5"/>
  <c r="X378" i="5"/>
  <c r="Y378" i="5"/>
  <c r="X557" i="5"/>
  <c r="Y557" i="5"/>
  <c r="X258" i="5"/>
  <c r="Y258" i="5"/>
  <c r="Y214" i="5"/>
  <c r="X214" i="5"/>
  <c r="Y317" i="5"/>
  <c r="X317" i="5"/>
  <c r="X114" i="5"/>
  <c r="Y114" i="5"/>
  <c r="X530" i="5"/>
  <c r="Y530" i="5"/>
  <c r="Y558" i="5"/>
  <c r="X558" i="5"/>
  <c r="Y221" i="5"/>
  <c r="X221" i="5"/>
  <c r="Y33" i="5"/>
  <c r="X33" i="5"/>
  <c r="X122" i="5"/>
  <c r="Y122" i="5"/>
  <c r="Y555" i="5"/>
  <c r="X555" i="5"/>
  <c r="X539" i="5"/>
  <c r="Y539" i="5"/>
  <c r="Y333" i="5"/>
  <c r="X333" i="5"/>
  <c r="Y475" i="5"/>
  <c r="X475" i="5"/>
  <c r="Y436" i="5"/>
  <c r="X436" i="5"/>
  <c r="Y300" i="5"/>
  <c r="X300" i="5"/>
  <c r="Y421" i="5"/>
  <c r="X421" i="5"/>
  <c r="X184" i="5"/>
  <c r="Y184" i="5"/>
  <c r="X158" i="5"/>
  <c r="Y158" i="5"/>
  <c r="X454" i="5"/>
  <c r="Y454" i="5"/>
  <c r="Y457" i="5"/>
  <c r="X457" i="5"/>
  <c r="Y161" i="5"/>
  <c r="X161" i="5"/>
  <c r="X294" i="5"/>
  <c r="Y294" i="5"/>
  <c r="Y547" i="5"/>
  <c r="X547" i="5"/>
  <c r="Y311" i="5"/>
  <c r="X311" i="5"/>
  <c r="Y13" i="5"/>
  <c r="X13" i="5"/>
  <c r="X191" i="5"/>
  <c r="Y191" i="5"/>
  <c r="X429" i="5"/>
  <c r="Y429" i="5"/>
  <c r="X526" i="5"/>
  <c r="Y526" i="5"/>
  <c r="Y107" i="5"/>
  <c r="X107" i="5"/>
  <c r="X359" i="5"/>
  <c r="Y359" i="5"/>
  <c r="X281" i="5"/>
  <c r="Y281" i="5"/>
  <c r="Y82" i="5"/>
  <c r="X82" i="5"/>
  <c r="X93" i="5"/>
  <c r="Y93" i="5"/>
  <c r="X500" i="5"/>
  <c r="Y500" i="5"/>
  <c r="X120" i="5"/>
  <c r="Y120" i="5"/>
  <c r="Y318" i="5"/>
  <c r="X318" i="5"/>
  <c r="Y148" i="5"/>
  <c r="X148" i="5"/>
  <c r="X390" i="5"/>
  <c r="Y390" i="5"/>
  <c r="X60" i="5"/>
  <c r="Y60" i="5"/>
  <c r="X156" i="5"/>
  <c r="Y156" i="5"/>
  <c r="X76" i="5"/>
  <c r="Y76" i="5"/>
  <c r="Y507" i="5"/>
  <c r="X507" i="5"/>
  <c r="X342" i="5"/>
  <c r="Y342" i="5"/>
  <c r="X108" i="5"/>
  <c r="Y108" i="5"/>
  <c r="X376" i="5"/>
  <c r="Y376" i="5"/>
  <c r="X474" i="5"/>
  <c r="Y474" i="5"/>
  <c r="X22" i="5"/>
  <c r="Y22" i="5"/>
  <c r="X86" i="5"/>
  <c r="Y86" i="5"/>
  <c r="X337" i="5"/>
  <c r="Y337" i="5"/>
  <c r="Y364" i="5"/>
  <c r="X364" i="5"/>
  <c r="X137" i="5"/>
  <c r="Y137" i="5"/>
  <c r="Y38" i="5"/>
  <c r="X38" i="5"/>
  <c r="X172" i="5"/>
  <c r="Y172" i="5"/>
  <c r="Y440" i="5"/>
  <c r="X440" i="5"/>
  <c r="X354" i="5"/>
  <c r="Y354" i="5"/>
  <c r="AH84" i="4"/>
  <c r="AH96" i="4"/>
  <c r="AH91" i="4"/>
  <c r="W78" i="4"/>
  <c r="Y78" i="4" s="1"/>
  <c r="AR78" i="4" s="1"/>
  <c r="AM78" i="4"/>
  <c r="AH126" i="4"/>
  <c r="AM32" i="4"/>
  <c r="W32" i="4"/>
  <c r="Y32" i="4" s="1"/>
  <c r="AR32" i="4" s="1"/>
  <c r="AH115" i="4"/>
  <c r="W33" i="4"/>
  <c r="Y33" i="4" s="1"/>
  <c r="AR33" i="4" s="1"/>
  <c r="AM33" i="4"/>
  <c r="AH71" i="4"/>
  <c r="AH89" i="4"/>
  <c r="AH125" i="4"/>
  <c r="AN123" i="5"/>
  <c r="AO123" i="5"/>
  <c r="AO25" i="5"/>
  <c r="AN25" i="5"/>
  <c r="AO189" i="5"/>
  <c r="AN189" i="5"/>
  <c r="AN28" i="5"/>
  <c r="AO28" i="5"/>
  <c r="AN449" i="5"/>
  <c r="AO449" i="5"/>
  <c r="AO220" i="5"/>
  <c r="AN220" i="5"/>
  <c r="AN258" i="5"/>
  <c r="AO258" i="5"/>
  <c r="AO250" i="5"/>
  <c r="AN250" i="5"/>
  <c r="AO480" i="5"/>
  <c r="AN480" i="5"/>
  <c r="AO446" i="5"/>
  <c r="AN446" i="5"/>
  <c r="AN438" i="5"/>
  <c r="AO438" i="5"/>
  <c r="AO124" i="5"/>
  <c r="AN124" i="5"/>
  <c r="AO110" i="5"/>
  <c r="AN110" i="5"/>
  <c r="AN463" i="5"/>
  <c r="AO463" i="5"/>
  <c r="AO490" i="5"/>
  <c r="AN490" i="5"/>
  <c r="AO268" i="5"/>
  <c r="AN268" i="5"/>
  <c r="AO72" i="5"/>
  <c r="AN72" i="5"/>
  <c r="AO172" i="5"/>
  <c r="AN172" i="5"/>
  <c r="AO393" i="5"/>
  <c r="AN393" i="5"/>
  <c r="AN547" i="5"/>
  <c r="AO547" i="5"/>
  <c r="AO153" i="5"/>
  <c r="AN153" i="5"/>
  <c r="AO87" i="5"/>
  <c r="AN87" i="5"/>
  <c r="AN291" i="5"/>
  <c r="AO291" i="5"/>
  <c r="AN526" i="5"/>
  <c r="AO526" i="5"/>
  <c r="AN34" i="5"/>
  <c r="AO34" i="5"/>
  <c r="AO296" i="5"/>
  <c r="AN296" i="5"/>
  <c r="AN283" i="5"/>
  <c r="AO283" i="5"/>
  <c r="AO349" i="5"/>
  <c r="AN349" i="5"/>
  <c r="AN381" i="5"/>
  <c r="AO381" i="5"/>
  <c r="AO496" i="5"/>
  <c r="AN496" i="5"/>
  <c r="AN374" i="5"/>
  <c r="AO374" i="5"/>
  <c r="AN249" i="5"/>
  <c r="AO249" i="5"/>
  <c r="AO316" i="5"/>
  <c r="AN316" i="5"/>
  <c r="AN99" i="5"/>
  <c r="AO99" i="5"/>
  <c r="AO365" i="5"/>
  <c r="AN365" i="5"/>
  <c r="AN560" i="5"/>
  <c r="AO560" i="5"/>
  <c r="AO331" i="5"/>
  <c r="AN331" i="5"/>
  <c r="AN482" i="5"/>
  <c r="AO482" i="5"/>
  <c r="AN38" i="5"/>
  <c r="AO38" i="5"/>
  <c r="AO177" i="5"/>
  <c r="AN177" i="5"/>
  <c r="AN489" i="5"/>
  <c r="AO489" i="5"/>
  <c r="AN132" i="5"/>
  <c r="AO132" i="5"/>
  <c r="AN279" i="5"/>
  <c r="AO279" i="5"/>
  <c r="AO53" i="5"/>
  <c r="AN53" i="5"/>
  <c r="AN94" i="5"/>
  <c r="AO94" i="5"/>
  <c r="AN229" i="5"/>
  <c r="AO229" i="5"/>
  <c r="AO205" i="5"/>
  <c r="AN205" i="5"/>
  <c r="AN456" i="5"/>
  <c r="AO456" i="5"/>
  <c r="AN288" i="5"/>
  <c r="AO288" i="5"/>
  <c r="AN79" i="5"/>
  <c r="AO79" i="5"/>
  <c r="AN347" i="5"/>
  <c r="AO347" i="5"/>
  <c r="AN224" i="5"/>
  <c r="AO224" i="5"/>
  <c r="AO176" i="5"/>
  <c r="AN176" i="5"/>
  <c r="AN210" i="5"/>
  <c r="AO210" i="5"/>
  <c r="AN293" i="5"/>
  <c r="AO293" i="5"/>
  <c r="AO487" i="5"/>
  <c r="AN487" i="5"/>
  <c r="AN213" i="5"/>
  <c r="AO213" i="5"/>
  <c r="AO21" i="5"/>
  <c r="AN21" i="5"/>
  <c r="AN306" i="5"/>
  <c r="AO306" i="5"/>
  <c r="AN467" i="5"/>
  <c r="AO467" i="5"/>
  <c r="AN412" i="5"/>
  <c r="AO412" i="5"/>
  <c r="AO355" i="5"/>
  <c r="AN355" i="5"/>
  <c r="AN318" i="5"/>
  <c r="AO318" i="5"/>
  <c r="AN56" i="5"/>
  <c r="AO56" i="5"/>
  <c r="AN511" i="5"/>
  <c r="AO511" i="5"/>
  <c r="AO251" i="5"/>
  <c r="AN251" i="5"/>
  <c r="AO262" i="5"/>
  <c r="AN262" i="5"/>
  <c r="AO513" i="5"/>
  <c r="AN513" i="5"/>
  <c r="AN118" i="5"/>
  <c r="AO118" i="5"/>
  <c r="AM51" i="4"/>
  <c r="W51" i="4"/>
  <c r="Y51" i="4" s="1"/>
  <c r="AR51" i="4" s="1"/>
  <c r="AH102" i="4"/>
  <c r="W65" i="4"/>
  <c r="Y65" i="4" s="1"/>
  <c r="AR65" i="4" s="1"/>
  <c r="AH24" i="4"/>
  <c r="AH124" i="4"/>
  <c r="AH146" i="4"/>
  <c r="Y229" i="5"/>
  <c r="X229" i="5"/>
  <c r="X400" i="5"/>
  <c r="Y400" i="5"/>
  <c r="X80" i="5"/>
  <c r="Y80" i="5"/>
  <c r="X143" i="5"/>
  <c r="Y143" i="5"/>
  <c r="Y290" i="5"/>
  <c r="X290" i="5"/>
  <c r="Y72" i="5"/>
  <c r="X72" i="5"/>
  <c r="Y431" i="5"/>
  <c r="X431" i="5"/>
  <c r="Y52" i="5"/>
  <c r="X52" i="5"/>
  <c r="X301" i="5"/>
  <c r="Y301" i="5"/>
  <c r="X254" i="5"/>
  <c r="Y254" i="5"/>
  <c r="Y27" i="5"/>
  <c r="X27" i="5"/>
  <c r="X315" i="5"/>
  <c r="Y315" i="5"/>
  <c r="X414" i="5"/>
  <c r="Y414" i="5"/>
  <c r="X444" i="5"/>
  <c r="Y444" i="5"/>
  <c r="X527" i="5"/>
  <c r="Y527" i="5"/>
  <c r="X406" i="5"/>
  <c r="Y406" i="5"/>
  <c r="X263" i="5"/>
  <c r="Y263" i="5"/>
  <c r="Y138" i="5"/>
  <c r="X138" i="5"/>
  <c r="Y438" i="5"/>
  <c r="X438" i="5"/>
  <c r="Y523" i="5"/>
  <c r="X523" i="5"/>
  <c r="Y320" i="5"/>
  <c r="X320" i="5"/>
  <c r="X90" i="5"/>
  <c r="Y90" i="5"/>
  <c r="X181" i="5"/>
  <c r="Y181" i="5"/>
  <c r="Y415" i="5"/>
  <c r="X415" i="5"/>
  <c r="Y125" i="5"/>
  <c r="X125" i="5"/>
  <c r="X355" i="5"/>
  <c r="Y355" i="5"/>
  <c r="X136" i="5"/>
  <c r="Y136" i="5"/>
  <c r="Y493" i="5"/>
  <c r="X493" i="5"/>
  <c r="X34" i="5"/>
  <c r="Y34" i="5"/>
  <c r="X484" i="5"/>
  <c r="Y484" i="5"/>
  <c r="Y532" i="5"/>
  <c r="X532" i="5"/>
  <c r="Y94" i="5"/>
  <c r="X94" i="5"/>
  <c r="X485" i="5"/>
  <c r="Y485" i="5"/>
  <c r="Y187" i="5"/>
  <c r="X187" i="5"/>
  <c r="Y45" i="5"/>
  <c r="X45" i="5"/>
  <c r="Y119" i="5"/>
  <c r="X119" i="5"/>
  <c r="X226" i="5"/>
  <c r="Y226" i="5"/>
  <c r="Y234" i="5"/>
  <c r="X234" i="5"/>
  <c r="X467" i="5"/>
  <c r="Y467" i="5"/>
  <c r="Y73" i="5"/>
  <c r="X73" i="5"/>
  <c r="Y175" i="5"/>
  <c r="X175" i="5"/>
  <c r="X319" i="5"/>
  <c r="Y319" i="5"/>
  <c r="Y434" i="5"/>
  <c r="X434" i="5"/>
  <c r="Y542" i="5"/>
  <c r="X542" i="5"/>
  <c r="Y332" i="5"/>
  <c r="X332" i="5"/>
  <c r="X331" i="5"/>
  <c r="Y331" i="5"/>
  <c r="X292" i="5"/>
  <c r="Y292" i="5"/>
  <c r="X448" i="5"/>
  <c r="Y448" i="5"/>
  <c r="X537" i="5"/>
  <c r="Y537" i="5"/>
  <c r="Y416" i="5"/>
  <c r="X416" i="5"/>
  <c r="X424" i="5"/>
  <c r="Y424" i="5"/>
  <c r="X99" i="5"/>
  <c r="Y99" i="5"/>
  <c r="Y230" i="5"/>
  <c r="X230" i="5"/>
  <c r="Y389" i="5"/>
  <c r="X389" i="5"/>
  <c r="X510" i="5"/>
  <c r="Y510" i="5"/>
  <c r="Y157" i="5"/>
  <c r="X157" i="5"/>
  <c r="Y504" i="5"/>
  <c r="X504" i="5"/>
  <c r="Y236" i="5"/>
  <c r="X236" i="5"/>
  <c r="X177" i="5"/>
  <c r="Y177" i="5"/>
  <c r="Y384" i="5"/>
  <c r="X384" i="5"/>
  <c r="Y235" i="5"/>
  <c r="X235" i="5"/>
  <c r="Y101" i="5"/>
  <c r="X101" i="5"/>
  <c r="X8" i="5"/>
  <c r="Y8" i="5"/>
  <c r="Y519" i="5"/>
  <c r="X519" i="5"/>
  <c r="X285" i="5"/>
  <c r="Y285" i="5"/>
  <c r="X41" i="5"/>
  <c r="Y41" i="5"/>
  <c r="X365" i="5"/>
  <c r="Y365" i="5"/>
  <c r="Y247" i="5"/>
  <c r="X247" i="5"/>
  <c r="X338" i="5"/>
  <c r="Y338" i="5"/>
  <c r="AH66" i="4"/>
  <c r="AH87" i="4"/>
  <c r="AH34" i="4"/>
  <c r="AH74" i="4"/>
  <c r="AM77" i="4"/>
  <c r="W77" i="4"/>
  <c r="Y77" i="4" s="1"/>
  <c r="AR77" i="4" s="1"/>
  <c r="AH22" i="4"/>
  <c r="AH147" i="4"/>
  <c r="AH28" i="4"/>
  <c r="AH38" i="4"/>
  <c r="AM37" i="4"/>
  <c r="W37" i="4"/>
  <c r="Y37" i="4" s="1"/>
  <c r="AR37" i="4" s="1"/>
  <c r="AH72" i="4"/>
  <c r="AN461" i="5"/>
  <c r="AO461" i="5"/>
  <c r="AH64" i="4"/>
  <c r="AH120" i="4"/>
  <c r="AH11" i="4"/>
  <c r="AH39" i="4"/>
  <c r="AI435" i="5"/>
  <c r="AI156" i="5"/>
  <c r="AI553" i="5"/>
  <c r="AI535" i="5"/>
  <c r="AI280" i="5"/>
  <c r="AI351" i="5"/>
  <c r="AI447" i="5"/>
  <c r="AI510" i="5"/>
  <c r="AI129" i="5"/>
  <c r="AI353" i="5"/>
  <c r="AI22" i="5"/>
  <c r="AI479" i="5"/>
  <c r="AI196" i="5"/>
  <c r="AI82" i="5"/>
  <c r="AI372" i="5"/>
  <c r="AI527" i="5"/>
  <c r="AI285" i="5"/>
  <c r="AI265" i="5"/>
  <c r="AI371" i="5"/>
  <c r="AI92" i="5"/>
  <c r="AI51" i="5"/>
  <c r="AI200" i="5"/>
  <c r="AI470" i="5"/>
  <c r="AI65" i="5"/>
  <c r="AI154" i="5"/>
  <c r="AI381" i="5"/>
  <c r="AI19" i="5"/>
  <c r="AI211" i="5"/>
  <c r="AI21" i="5"/>
  <c r="AI198" i="5"/>
  <c r="AI234" i="5"/>
  <c r="AI213" i="5"/>
  <c r="AI205" i="5"/>
  <c r="AI272" i="5"/>
  <c r="AI98" i="5"/>
  <c r="AI509" i="5"/>
  <c r="AI210" i="5"/>
  <c r="AI319" i="5"/>
  <c r="AI369" i="5"/>
  <c r="AI357" i="5"/>
  <c r="AI477" i="5"/>
  <c r="AI417" i="5"/>
  <c r="AI420" i="5"/>
  <c r="AI391" i="5"/>
  <c r="AI149" i="5"/>
  <c r="AI455" i="5"/>
  <c r="AI38" i="5"/>
  <c r="AI386" i="5"/>
  <c r="AI116" i="5"/>
  <c r="AI212" i="5"/>
  <c r="AI53" i="5"/>
  <c r="AI429" i="5"/>
  <c r="AI517" i="5"/>
  <c r="AI60" i="5"/>
  <c r="AI402" i="5"/>
  <c r="AI412" i="5"/>
  <c r="AI346" i="5"/>
  <c r="AI35" i="5"/>
  <c r="AI58" i="5"/>
  <c r="AI117" i="5"/>
  <c r="AI84" i="5"/>
  <c r="AI230" i="5"/>
  <c r="AI177" i="5"/>
  <c r="AI176" i="5"/>
  <c r="AI80" i="5"/>
  <c r="AI87" i="5"/>
  <c r="AI524" i="5"/>
  <c r="AI57" i="5"/>
  <c r="AI10" i="5"/>
  <c r="AI52" i="5"/>
  <c r="AI142" i="5"/>
  <c r="AI337" i="5"/>
  <c r="AI67" i="5"/>
  <c r="AI442" i="5"/>
  <c r="AI7" i="5"/>
  <c r="AI508" i="5"/>
  <c r="AI119" i="5"/>
  <c r="AI41" i="5"/>
  <c r="AI281" i="5"/>
  <c r="AI61" i="5"/>
  <c r="AI100" i="5"/>
  <c r="AI448" i="5"/>
  <c r="AI13" i="5"/>
  <c r="AI223" i="5"/>
  <c r="AI506" i="5"/>
  <c r="AI363" i="5"/>
  <c r="AI375" i="5"/>
  <c r="AI303" i="5"/>
  <c r="AI385" i="5"/>
  <c r="AI380" i="5"/>
  <c r="AI86" i="5"/>
  <c r="AI275" i="5"/>
  <c r="AI383" i="5"/>
  <c r="AI126" i="5"/>
  <c r="AI453" i="5"/>
  <c r="AI79" i="5"/>
  <c r="AI29" i="5"/>
  <c r="AI476" i="5"/>
  <c r="AI416" i="5"/>
  <c r="AI128" i="5"/>
  <c r="AI482" i="5"/>
  <c r="AI326" i="5"/>
  <c r="AI160" i="5"/>
  <c r="AI88" i="5"/>
  <c r="AI489" i="5"/>
  <c r="AI290" i="5"/>
  <c r="AI235" i="5"/>
  <c r="AI85" i="5"/>
  <c r="AI24" i="5"/>
  <c r="AI175" i="5"/>
  <c r="AI262" i="5"/>
  <c r="AI256" i="5"/>
  <c r="AI54" i="5"/>
  <c r="AI297" i="5"/>
  <c r="AI313" i="5"/>
  <c r="AI161" i="5"/>
  <c r="AI466" i="5"/>
  <c r="AI120" i="5"/>
  <c r="AI473" i="5"/>
  <c r="AI422" i="5"/>
  <c r="AI474" i="5"/>
  <c r="AI71" i="5"/>
  <c r="AI62" i="5"/>
  <c r="AI478" i="5"/>
  <c r="AI488" i="5"/>
  <c r="AI90" i="5"/>
  <c r="AI441" i="5"/>
  <c r="AI95" i="5"/>
  <c r="AI439" i="5"/>
  <c r="AI549" i="5"/>
  <c r="AI532" i="5"/>
  <c r="AI344" i="5"/>
  <c r="AI475" i="5"/>
  <c r="AI368" i="5"/>
  <c r="AI528" i="5"/>
  <c r="AI201" i="5"/>
  <c r="AI359" i="5"/>
  <c r="AI446" i="5"/>
  <c r="AI9" i="5"/>
  <c r="AI403" i="5"/>
  <c r="AI379" i="5"/>
  <c r="AI502" i="5"/>
  <c r="AI288" i="5"/>
  <c r="AI134" i="5"/>
  <c r="AI423" i="5"/>
  <c r="AI539" i="5"/>
  <c r="AI215" i="5"/>
  <c r="AI397" i="5"/>
  <c r="AI232" i="5"/>
  <c r="AI291" i="5"/>
  <c r="AI547" i="5"/>
  <c r="AI526" i="5"/>
  <c r="AI279" i="5"/>
  <c r="AI503" i="5"/>
  <c r="AI45" i="5"/>
  <c r="AI507" i="5"/>
  <c r="AI73" i="5"/>
  <c r="AI486" i="5"/>
  <c r="AI312" i="5"/>
  <c r="AI521" i="5"/>
  <c r="AI331" i="5"/>
  <c r="AI224" i="5"/>
  <c r="AI20" i="5"/>
  <c r="AI109" i="5"/>
  <c r="AI536" i="5"/>
  <c r="AI362" i="5"/>
  <c r="AI286" i="5"/>
  <c r="AI556" i="5"/>
  <c r="AI431" i="5"/>
  <c r="AI181" i="5"/>
  <c r="AI505" i="5"/>
  <c r="AI530" i="5"/>
  <c r="AI457" i="5"/>
  <c r="AI278" i="5"/>
  <c r="AI189" i="5"/>
  <c r="AI132" i="5"/>
  <c r="AI270" i="5"/>
  <c r="AI162" i="5"/>
  <c r="AI430" i="5"/>
  <c r="AI228" i="5"/>
  <c r="AI320" i="5"/>
  <c r="AI348" i="5"/>
  <c r="AI66" i="5"/>
  <c r="AI522" i="5"/>
  <c r="AI444" i="5"/>
  <c r="AI155" i="5"/>
  <c r="AI284" i="5"/>
  <c r="AI125" i="5"/>
  <c r="AI546" i="5"/>
  <c r="AI419" i="5"/>
  <c r="AI94" i="5"/>
  <c r="AI330" i="5"/>
  <c r="AI355" i="5"/>
  <c r="AI347" i="5"/>
  <c r="AI301" i="5"/>
  <c r="AI248" i="5"/>
  <c r="AI366" i="5"/>
  <c r="AI499" i="5"/>
  <c r="AI264" i="5"/>
  <c r="AI231" i="5"/>
  <c r="AI164" i="5"/>
  <c r="AI295" i="5"/>
  <c r="AI124" i="5"/>
  <c r="AI560" i="5"/>
  <c r="AI233" i="5"/>
  <c r="AI42" i="5"/>
  <c r="AI157" i="5"/>
  <c r="AI145" i="5"/>
  <c r="AI253" i="5"/>
  <c r="AI153" i="5"/>
  <c r="AI172" i="5"/>
  <c r="AI184" i="5"/>
  <c r="AI306" i="5"/>
  <c r="AI8" i="5"/>
  <c r="AI438" i="5"/>
  <c r="AI83" i="5"/>
  <c r="AI108" i="5"/>
  <c r="AI497" i="5"/>
  <c r="AI449" i="5"/>
  <c r="AI33" i="5"/>
  <c r="AI222" i="5"/>
  <c r="AI324" i="5"/>
  <c r="AI491" i="5"/>
  <c r="AI77" i="5"/>
  <c r="AI102" i="5"/>
  <c r="AI411" i="5"/>
  <c r="AI465" i="5"/>
  <c r="AI342" i="5"/>
  <c r="AI548" i="5"/>
  <c r="AI220" i="5"/>
  <c r="AI186" i="5"/>
  <c r="AI287" i="5"/>
  <c r="AI300" i="5"/>
  <c r="AI139" i="5"/>
  <c r="AI396" i="5"/>
  <c r="AI64" i="5"/>
  <c r="AI163" i="5"/>
  <c r="AI147" i="5"/>
  <c r="AI96" i="5"/>
  <c r="AI484" i="5"/>
  <c r="AI170" i="5"/>
  <c r="AI490" i="5"/>
  <c r="AI534" i="5"/>
  <c r="AI413" i="5"/>
  <c r="AI97" i="5"/>
  <c r="AI554" i="5"/>
  <c r="AI374" i="5"/>
  <c r="AI188" i="5"/>
  <c r="AI555" i="5"/>
  <c r="AI241" i="5"/>
  <c r="AI219" i="5"/>
  <c r="AI165" i="5"/>
  <c r="AI40" i="5"/>
  <c r="AI283" i="5"/>
  <c r="AI255" i="5"/>
  <c r="AI141" i="5"/>
  <c r="AI462" i="5"/>
  <c r="AI410" i="5"/>
  <c r="AI282" i="5"/>
  <c r="AI332" i="5"/>
  <c r="AI240" i="5"/>
  <c r="AI460" i="5"/>
  <c r="AI294" i="5"/>
  <c r="AI336" i="5"/>
  <c r="AI199" i="5"/>
  <c r="AI75" i="5"/>
  <c r="AI180" i="5"/>
  <c r="AI195" i="5"/>
  <c r="AI69" i="5"/>
  <c r="AI400" i="5"/>
  <c r="AI464" i="5"/>
  <c r="AI515" i="5"/>
  <c r="AI317" i="5"/>
  <c r="AI296" i="5"/>
  <c r="AI273" i="5"/>
  <c r="AI260" i="5"/>
  <c r="AI364" i="5"/>
  <c r="AI50" i="5"/>
  <c r="AI471" i="5"/>
  <c r="AI209" i="5"/>
  <c r="AI445" i="5"/>
  <c r="AI384" i="5"/>
  <c r="AI127" i="5"/>
  <c r="AI78" i="5"/>
  <c r="AI531" i="5"/>
  <c r="AI110" i="5"/>
  <c r="AI352" i="5"/>
  <c r="AI512" i="5"/>
  <c r="AI208" i="5"/>
  <c r="AI461" i="5"/>
  <c r="AI520" i="5"/>
  <c r="AI426" i="5"/>
  <c r="AI487" i="5"/>
  <c r="AI159" i="5"/>
  <c r="AI393" i="5"/>
  <c r="AI450" i="5"/>
  <c r="AI418" i="5"/>
  <c r="AI238" i="5"/>
  <c r="AI540" i="5"/>
  <c r="AI436" i="5"/>
  <c r="AI382" i="5"/>
  <c r="AI481" i="5"/>
  <c r="AI354" i="5"/>
  <c r="AI135" i="5"/>
  <c r="AI204" i="5"/>
  <c r="AI12" i="5"/>
  <c r="AI341" i="5"/>
  <c r="AI249" i="5"/>
  <c r="AI146" i="5"/>
  <c r="AI421" i="5"/>
  <c r="AI350" i="5"/>
  <c r="AI112" i="5"/>
  <c r="AI47" i="5"/>
  <c r="AI194" i="5"/>
  <c r="AI314" i="5"/>
  <c r="AI169" i="5"/>
  <c r="AI258" i="5"/>
  <c r="AI187" i="5"/>
  <c r="AI261" i="5"/>
  <c r="AI298" i="5"/>
  <c r="AI523" i="5"/>
  <c r="AI99" i="5"/>
  <c r="AI236" i="5"/>
  <c r="AI243" i="5"/>
  <c r="AI518" i="5"/>
  <c r="AI274" i="5"/>
  <c r="AI315" i="5"/>
  <c r="AI227" i="5"/>
  <c r="AI254" i="5"/>
  <c r="AI158" i="5"/>
  <c r="AI407" i="5"/>
  <c r="AI289" i="5"/>
  <c r="AI409" i="5"/>
  <c r="AI293" i="5"/>
  <c r="AI183" i="5"/>
  <c r="AI463" i="5"/>
  <c r="AI349" i="5"/>
  <c r="AI103" i="5"/>
  <c r="AI392" i="5"/>
  <c r="AI242" i="5"/>
  <c r="AI339" i="5"/>
  <c r="AI557" i="5"/>
  <c r="AI308" i="5"/>
  <c r="AI390" i="5"/>
  <c r="AI514" i="5"/>
  <c r="AI329" i="5"/>
  <c r="AI72" i="5"/>
  <c r="AI225" i="5"/>
  <c r="AI63" i="5"/>
  <c r="AI182" i="5"/>
  <c r="AI217" i="5"/>
  <c r="AI252" i="5"/>
  <c r="AI202" i="5"/>
  <c r="AI28" i="5"/>
  <c r="AI323" i="5"/>
  <c r="AI433" i="5"/>
  <c r="AI406" i="5"/>
  <c r="AI321" i="5"/>
  <c r="AI191" i="5"/>
  <c r="AI307" i="5"/>
  <c r="AI39" i="5"/>
  <c r="AI192" i="5"/>
  <c r="AI271" i="5"/>
  <c r="AI545" i="5"/>
  <c r="AI538" i="5"/>
  <c r="AI345" i="5"/>
  <c r="AI376" i="5"/>
  <c r="AI356" i="5"/>
  <c r="AI304" i="5"/>
  <c r="AI49" i="5"/>
  <c r="AI504" i="5"/>
  <c r="AI480" i="5"/>
  <c r="AI542" i="5"/>
  <c r="AI424" i="5"/>
  <c r="AI26" i="5"/>
  <c r="AI544" i="5"/>
  <c r="AI483" i="5"/>
  <c r="AI185" i="5"/>
  <c r="AI179" i="5"/>
  <c r="AI59" i="5"/>
  <c r="AI414" i="5"/>
  <c r="AI519" i="5"/>
  <c r="AI558" i="5"/>
  <c r="AI335" i="5"/>
  <c r="AI30" i="5"/>
  <c r="AI459" i="5"/>
  <c r="AI216" i="5"/>
  <c r="AI244" i="5"/>
  <c r="AI361" i="5"/>
  <c r="AI113" i="5"/>
  <c r="AI472" i="5"/>
  <c r="AI399" i="5"/>
  <c r="AI318" i="5"/>
  <c r="AI373" i="5"/>
  <c r="AI81" i="5"/>
  <c r="AI197" i="5"/>
  <c r="AI107" i="5"/>
  <c r="AI333" i="5"/>
  <c r="AI552" i="5"/>
  <c r="AI269" i="5"/>
  <c r="AI277" i="5"/>
  <c r="AI338" i="5"/>
  <c r="AI148" i="5"/>
  <c r="AI36" i="5"/>
  <c r="AI206" i="5"/>
  <c r="AI370" i="5"/>
  <c r="AI496" i="5"/>
  <c r="AI485" i="5"/>
  <c r="AI218" i="5"/>
  <c r="AI541" i="5"/>
  <c r="AI513" i="5"/>
  <c r="AI178" i="5"/>
  <c r="AI311" i="5"/>
  <c r="AI559" i="5"/>
  <c r="AI245" i="5"/>
  <c r="AI143" i="5"/>
  <c r="AI32" i="5"/>
  <c r="AI309" i="5"/>
  <c r="AI378" i="5"/>
  <c r="AI469" i="5"/>
  <c r="AI105" i="5"/>
  <c r="AI55" i="5"/>
  <c r="AI394" i="5"/>
  <c r="AI43" i="5"/>
  <c r="AI111" i="5"/>
  <c r="AI428" i="5"/>
  <c r="AI207" i="5"/>
  <c r="AI425" i="5"/>
  <c r="AI334" i="5"/>
  <c r="AI137" i="5"/>
  <c r="AI387" i="5"/>
  <c r="AI395" i="5"/>
  <c r="AI130" i="5"/>
  <c r="AI292" i="5"/>
  <c r="AI343" i="5"/>
  <c r="AI250" i="5"/>
  <c r="AI367" i="5"/>
  <c r="AI468" i="5"/>
  <c r="AI404" i="5"/>
  <c r="AI168" i="5"/>
  <c r="AI166" i="5"/>
  <c r="AI467" i="5"/>
  <c r="AI68" i="5"/>
  <c r="AI493" i="5"/>
  <c r="AI401" i="5"/>
  <c r="AI492" i="5"/>
  <c r="AI25" i="5"/>
  <c r="AI70" i="5"/>
  <c r="AI550" i="5"/>
  <c r="AI140" i="5"/>
  <c r="AI263" i="5"/>
  <c r="AI11" i="5"/>
  <c r="AI144" i="5"/>
  <c r="AI533" i="5"/>
  <c r="AI174" i="5"/>
  <c r="AI104" i="5"/>
  <c r="AI408" i="5"/>
  <c r="AI229" i="5"/>
  <c r="AI456" i="5"/>
  <c r="AI34" i="5"/>
  <c r="AI498" i="5"/>
  <c r="AI167" i="5"/>
  <c r="AI121" i="5"/>
  <c r="AI365" i="5"/>
  <c r="AI543" i="5"/>
  <c r="AI122" i="5"/>
  <c r="AI454" i="5"/>
  <c r="AI74" i="5"/>
  <c r="AI131" i="5"/>
  <c r="AI247" i="5"/>
  <c r="AI93" i="5"/>
  <c r="AI276" i="5"/>
  <c r="AI427" i="5"/>
  <c r="AI115" i="5"/>
  <c r="AI501" i="5"/>
  <c r="AI27" i="5"/>
  <c r="AI268" i="5"/>
  <c r="AI310" i="5"/>
  <c r="AI525" i="5"/>
  <c r="AI48" i="5"/>
  <c r="AI190" i="5"/>
  <c r="AI360" i="5"/>
  <c r="AI443" i="5"/>
  <c r="AI106" i="5"/>
  <c r="AI316" i="5"/>
  <c r="AI251" i="5"/>
  <c r="AI405" i="5"/>
  <c r="AI495" i="5"/>
  <c r="AI257" i="5"/>
  <c r="AI171" i="5"/>
  <c r="AI173" i="5"/>
  <c r="AI340" i="5"/>
  <c r="AI551" i="5"/>
  <c r="AI451" i="5"/>
  <c r="AI266" i="5"/>
  <c r="AI259" i="5"/>
  <c r="AI239" i="5"/>
  <c r="AI23" i="5"/>
  <c r="AI76" i="5"/>
  <c r="AI267" i="5"/>
  <c r="AI415" i="5"/>
  <c r="AI432" i="5"/>
  <c r="AI91" i="5"/>
  <c r="AI452" i="5"/>
  <c r="AI325" i="5"/>
  <c r="AI537" i="5"/>
  <c r="AI398" i="5"/>
  <c r="AI118" i="5"/>
  <c r="AI193" i="5"/>
  <c r="AI246" i="5"/>
  <c r="AI327" i="5"/>
  <c r="AI299" i="5"/>
  <c r="AI388" i="5"/>
  <c r="AI214" i="5"/>
  <c r="AI302" i="5"/>
  <c r="AI516" i="5"/>
  <c r="AI328" i="5"/>
  <c r="AI511" i="5"/>
  <c r="AI305" i="5"/>
  <c r="AI237" i="5"/>
  <c r="AI151" i="5"/>
  <c r="AI221" i="5"/>
  <c r="AI114" i="5"/>
  <c r="AI458" i="5"/>
  <c r="AI389" i="5"/>
  <c r="AI123" i="5"/>
  <c r="AI377" i="5"/>
  <c r="AI434" i="5"/>
  <c r="AI322" i="5"/>
  <c r="AI437" i="5"/>
  <c r="AI152" i="5"/>
  <c r="AI136" i="5"/>
  <c r="AI89" i="5"/>
  <c r="AI56" i="5"/>
  <c r="AI44" i="5"/>
  <c r="AI529" i="5"/>
  <c r="AI203" i="5"/>
  <c r="AI133" i="5"/>
  <c r="AI494" i="5"/>
  <c r="AI440" i="5"/>
  <c r="AI101" i="5"/>
  <c r="AI500" i="5"/>
  <c r="AI226" i="5"/>
  <c r="AI46" i="5"/>
  <c r="AI358" i="5"/>
  <c r="AI138" i="5"/>
  <c r="AI150" i="5"/>
  <c r="AI31" i="5"/>
  <c r="AN280" i="5"/>
  <c r="AO280" i="5"/>
  <c r="AN163" i="5"/>
  <c r="AO163" i="5"/>
  <c r="AO39" i="5"/>
  <c r="AN39" i="5"/>
  <c r="AN193" i="5"/>
  <c r="AO193" i="5"/>
  <c r="AO382" i="5"/>
  <c r="AN382" i="5"/>
  <c r="AN97" i="5"/>
  <c r="AO97" i="5"/>
  <c r="AN246" i="5"/>
  <c r="AO246" i="5"/>
  <c r="AN270" i="5"/>
  <c r="AO270" i="5"/>
  <c r="AO378" i="5"/>
  <c r="AN378" i="5"/>
  <c r="AN558" i="5"/>
  <c r="AO558" i="5"/>
  <c r="AO502" i="5"/>
  <c r="AN502" i="5"/>
  <c r="AN452" i="5"/>
  <c r="AO452" i="5"/>
  <c r="AO508" i="5"/>
  <c r="AN508" i="5"/>
  <c r="AO266" i="5"/>
  <c r="AN266" i="5"/>
  <c r="AN77" i="5"/>
  <c r="AO77" i="5"/>
  <c r="AN186" i="5"/>
  <c r="AO186" i="5"/>
  <c r="AO303" i="5"/>
  <c r="AN303" i="5"/>
  <c r="AN112" i="5"/>
  <c r="AO112" i="5"/>
  <c r="AN328" i="5"/>
  <c r="AO328" i="5"/>
  <c r="AN379" i="5"/>
  <c r="AO379" i="5"/>
  <c r="AO539" i="5"/>
  <c r="AN539" i="5"/>
  <c r="AO559" i="5"/>
  <c r="AN559" i="5"/>
  <c r="AN395" i="5"/>
  <c r="AO395" i="5"/>
  <c r="AN466" i="5"/>
  <c r="AO466" i="5"/>
  <c r="AO58" i="5"/>
  <c r="AN58" i="5"/>
  <c r="AN336" i="5"/>
  <c r="AO336" i="5"/>
  <c r="AN228" i="5"/>
  <c r="AO228" i="5"/>
  <c r="AO516" i="5"/>
  <c r="AN516" i="5"/>
  <c r="AN421" i="5"/>
  <c r="AO421" i="5"/>
  <c r="AN105" i="5"/>
  <c r="AO105" i="5"/>
  <c r="AO277" i="5"/>
  <c r="AN277" i="5"/>
  <c r="AN514" i="5"/>
  <c r="AO514" i="5"/>
  <c r="AN254" i="5"/>
  <c r="AO254" i="5"/>
  <c r="AN121" i="5"/>
  <c r="AO121" i="5"/>
  <c r="AO173" i="5"/>
  <c r="AN173" i="5"/>
  <c r="AO60" i="5"/>
  <c r="AN60" i="5"/>
  <c r="AO71" i="5"/>
  <c r="AN71" i="5"/>
  <c r="AN444" i="5"/>
  <c r="AO444" i="5"/>
  <c r="AN128" i="5"/>
  <c r="AO128" i="5"/>
  <c r="AO553" i="5"/>
  <c r="AN553" i="5"/>
  <c r="AN129" i="5"/>
  <c r="AO129" i="5"/>
  <c r="AN520" i="5"/>
  <c r="AO520" i="5"/>
  <c r="AO238" i="5"/>
  <c r="AN238" i="5"/>
  <c r="AO442" i="5"/>
  <c r="AN442" i="5"/>
  <c r="AN324" i="5"/>
  <c r="AO324" i="5"/>
  <c r="AN196" i="5"/>
  <c r="AO196" i="5"/>
  <c r="AO218" i="5"/>
  <c r="AN218" i="5"/>
  <c r="AO319" i="5"/>
  <c r="AN319" i="5"/>
  <c r="AO498" i="5"/>
  <c r="AN498" i="5"/>
  <c r="AN237" i="5"/>
  <c r="AO237" i="5"/>
  <c r="AN472" i="5"/>
  <c r="AO472" i="5"/>
  <c r="AN431" i="5"/>
  <c r="AO431" i="5"/>
  <c r="AO139" i="5"/>
  <c r="AN139" i="5"/>
  <c r="AN261" i="5"/>
  <c r="AO261" i="5"/>
  <c r="AN488" i="5"/>
  <c r="AO488" i="5"/>
  <c r="AO532" i="5"/>
  <c r="AN532" i="5"/>
  <c r="AN322" i="5"/>
  <c r="AO322" i="5"/>
  <c r="AN276" i="5"/>
  <c r="AO276" i="5"/>
  <c r="AN544" i="5"/>
  <c r="AO544" i="5"/>
  <c r="AO429" i="5"/>
  <c r="AN429" i="5"/>
  <c r="AO414" i="5"/>
  <c r="AN414" i="5"/>
  <c r="AN314" i="5"/>
  <c r="AO314" i="5"/>
  <c r="AO222" i="5"/>
  <c r="AN222" i="5"/>
  <c r="AO201" i="5"/>
  <c r="AN201" i="5"/>
  <c r="AO161" i="5"/>
  <c r="AN161" i="5"/>
  <c r="AN400" i="5"/>
  <c r="AO400" i="5"/>
  <c r="AO353" i="5"/>
  <c r="AN353" i="5"/>
  <c r="AN143" i="5"/>
  <c r="AO143" i="5"/>
  <c r="AH51" i="4"/>
  <c r="AH85" i="4"/>
  <c r="AM67" i="4"/>
  <c r="W67" i="4"/>
  <c r="Y67" i="4" s="1"/>
  <c r="AR67" i="4" s="1"/>
  <c r="AH141" i="4"/>
  <c r="AH98" i="4"/>
  <c r="X29" i="5"/>
  <c r="Y29" i="5"/>
  <c r="Y55" i="5"/>
  <c r="X55" i="5"/>
  <c r="Y262" i="5"/>
  <c r="X262" i="5"/>
  <c r="X260" i="5"/>
  <c r="Y260" i="5"/>
  <c r="Y453" i="5"/>
  <c r="X453" i="5"/>
  <c r="Y411" i="5"/>
  <c r="X411" i="5"/>
  <c r="Y498" i="5"/>
  <c r="X498" i="5"/>
  <c r="X556" i="5"/>
  <c r="Y556" i="5"/>
  <c r="X58" i="5"/>
  <c r="Y58" i="5"/>
  <c r="Y127" i="5"/>
  <c r="X127" i="5"/>
  <c r="X126" i="5"/>
  <c r="Y126" i="5"/>
  <c r="X188" i="5"/>
  <c r="Y188" i="5"/>
  <c r="Y302" i="5"/>
  <c r="X302" i="5"/>
  <c r="Y47" i="5"/>
  <c r="X47" i="5"/>
  <c r="Y100" i="5"/>
  <c r="X100" i="5"/>
  <c r="Y272" i="5"/>
  <c r="X272" i="5"/>
  <c r="X324" i="5"/>
  <c r="Y324" i="5"/>
  <c r="Y548" i="5"/>
  <c r="X548" i="5"/>
  <c r="X116" i="5"/>
  <c r="Y116" i="5"/>
  <c r="Y360" i="5"/>
  <c r="X360" i="5"/>
  <c r="X298" i="5"/>
  <c r="Y298" i="5"/>
  <c r="X39" i="5"/>
  <c r="Y39" i="5"/>
  <c r="X541" i="5"/>
  <c r="Y541" i="5"/>
  <c r="X202" i="5"/>
  <c r="Y202" i="5"/>
  <c r="Y268" i="5"/>
  <c r="X268" i="5"/>
  <c r="X169" i="5"/>
  <c r="Y169" i="5"/>
  <c r="X297" i="5"/>
  <c r="Y297" i="5"/>
  <c r="Y525" i="5"/>
  <c r="X525" i="5"/>
  <c r="Y227" i="5"/>
  <c r="X227" i="5"/>
  <c r="X472" i="5"/>
  <c r="Y472" i="5"/>
  <c r="Y237" i="5"/>
  <c r="X237" i="5"/>
  <c r="Y516" i="5"/>
  <c r="X516" i="5"/>
  <c r="Y261" i="5"/>
  <c r="X261" i="5"/>
  <c r="X459" i="5"/>
  <c r="Y459" i="5"/>
  <c r="Y369" i="5"/>
  <c r="X369" i="5"/>
  <c r="Y176" i="5"/>
  <c r="X176" i="5"/>
  <c r="X451" i="5"/>
  <c r="Y451" i="5"/>
  <c r="Y398" i="5"/>
  <c r="X398" i="5"/>
  <c r="Y139" i="5"/>
  <c r="X139" i="5"/>
  <c r="Y57" i="5"/>
  <c r="X57" i="5"/>
  <c r="X43" i="5"/>
  <c r="Y43" i="5"/>
  <c r="X251" i="5"/>
  <c r="Y251" i="5"/>
  <c r="Y497" i="5"/>
  <c r="X497" i="5"/>
  <c r="Y486" i="5"/>
  <c r="X486" i="5"/>
  <c r="Y404" i="5"/>
  <c r="X404" i="5"/>
  <c r="X508" i="5"/>
  <c r="Y508" i="5"/>
  <c r="Y178" i="5"/>
  <c r="X178" i="5"/>
  <c r="X370" i="5"/>
  <c r="Y370" i="5"/>
  <c r="X128" i="5"/>
  <c r="Y128" i="5"/>
  <c r="Y327" i="5"/>
  <c r="X327" i="5"/>
  <c r="Y96" i="5"/>
  <c r="X96" i="5"/>
  <c r="Y274" i="5"/>
  <c r="X274" i="5"/>
  <c r="Y110" i="5"/>
  <c r="X110" i="5"/>
  <c r="Y36" i="5"/>
  <c r="X36" i="5"/>
  <c r="Y61" i="5"/>
  <c r="X61" i="5"/>
  <c r="Y62" i="5"/>
  <c r="X62" i="5"/>
  <c r="Y468" i="5"/>
  <c r="X468" i="5"/>
  <c r="X492" i="5"/>
  <c r="Y492" i="5"/>
  <c r="Y223" i="5"/>
  <c r="X223" i="5"/>
  <c r="Y374" i="5"/>
  <c r="X374" i="5"/>
  <c r="Y546" i="5"/>
  <c r="X546" i="5"/>
  <c r="X304" i="5"/>
  <c r="Y304" i="5"/>
  <c r="X249" i="5"/>
  <c r="Y249" i="5"/>
  <c r="X218" i="5"/>
  <c r="Y218" i="5"/>
  <c r="Y286" i="5"/>
  <c r="X286" i="5"/>
  <c r="X303" i="5"/>
  <c r="Y303" i="5"/>
  <c r="Y204" i="5"/>
  <c r="X204" i="5"/>
  <c r="X399" i="5"/>
  <c r="Y399" i="5"/>
  <c r="AH151" i="4"/>
  <c r="AH97" i="4"/>
  <c r="AH69" i="4"/>
  <c r="AH57" i="4"/>
  <c r="AH154" i="4"/>
  <c r="AM136" i="4"/>
  <c r="W136" i="4"/>
  <c r="Y136" i="4" s="1"/>
  <c r="AR136" i="4" s="1"/>
  <c r="AH152" i="4"/>
  <c r="AH37" i="4"/>
  <c r="AM120" i="4"/>
  <c r="W120" i="4"/>
  <c r="Y120" i="4" s="1"/>
  <c r="AR120" i="4" s="1"/>
  <c r="AM15" i="4"/>
  <c r="W15" i="4"/>
  <c r="Y15" i="4" s="1"/>
  <c r="AR15" i="4" s="1"/>
  <c r="AM153" i="4"/>
  <c r="W153" i="4"/>
  <c r="Y153" i="4" s="1"/>
  <c r="AR153" i="4" s="1"/>
  <c r="AM113" i="4"/>
  <c r="W113" i="4"/>
  <c r="Y113" i="4" s="1"/>
  <c r="AR113" i="4" s="1"/>
  <c r="AM30" i="4"/>
  <c r="W30" i="4"/>
  <c r="Y30" i="4" s="1"/>
  <c r="AR30" i="4" s="1"/>
  <c r="AH113" i="4"/>
  <c r="B78" i="5"/>
  <c r="O9" i="5" s="1"/>
  <c r="AP88" i="5"/>
  <c r="AP71" i="5"/>
  <c r="AP540" i="5"/>
  <c r="AP156" i="5"/>
  <c r="AP461" i="5"/>
  <c r="AP362" i="5"/>
  <c r="AP213" i="5"/>
  <c r="AP465" i="5"/>
  <c r="AP198" i="5"/>
  <c r="AP252" i="5"/>
  <c r="AP236" i="5"/>
  <c r="AP165" i="5"/>
  <c r="AP26" i="5"/>
  <c r="AP167" i="5"/>
  <c r="AP402" i="5"/>
  <c r="AP233" i="5"/>
  <c r="AP210" i="5"/>
  <c r="AP360" i="5"/>
  <c r="AP188" i="5"/>
  <c r="AP122" i="5"/>
  <c r="AP294" i="5"/>
  <c r="AP415" i="5"/>
  <c r="AP225" i="5"/>
  <c r="AP299" i="5"/>
  <c r="AP242" i="5"/>
  <c r="AP154" i="5"/>
  <c r="AP22" i="5"/>
  <c r="AP234" i="5"/>
  <c r="AP507" i="5"/>
  <c r="AP48" i="5"/>
  <c r="AP479" i="5"/>
  <c r="AP102" i="5"/>
  <c r="AP413" i="5"/>
  <c r="AP76" i="5"/>
  <c r="AP417" i="5"/>
  <c r="AP545" i="5"/>
  <c r="AP50" i="5"/>
  <c r="AP199" i="5"/>
  <c r="AP334" i="5"/>
  <c r="AP474" i="5"/>
  <c r="AP340" i="5"/>
  <c r="AP550" i="5"/>
  <c r="AP491" i="5"/>
  <c r="AP470" i="5"/>
  <c r="AP442" i="5"/>
  <c r="AP371" i="5"/>
  <c r="AP113" i="5"/>
  <c r="AP144" i="5"/>
  <c r="AP219" i="5"/>
  <c r="AP78" i="5"/>
  <c r="AP89" i="5"/>
  <c r="AP313" i="5"/>
  <c r="AP243" i="5"/>
  <c r="AP203" i="5"/>
  <c r="AP166" i="5"/>
  <c r="AP556" i="5"/>
  <c r="AP61" i="5"/>
  <c r="AP64" i="5"/>
  <c r="AP280" i="5"/>
  <c r="AP441" i="5"/>
  <c r="AP403" i="5"/>
  <c r="AP377" i="5"/>
  <c r="AP427" i="5"/>
  <c r="AP276" i="5"/>
  <c r="AP220" i="5"/>
  <c r="AP539" i="5"/>
  <c r="AP351" i="5"/>
  <c r="AP447" i="5"/>
  <c r="AP42" i="5"/>
  <c r="AP370" i="5"/>
  <c r="AP209" i="5"/>
  <c r="AP411" i="5"/>
  <c r="AP57" i="5"/>
  <c r="AP380" i="5"/>
  <c r="AP82" i="5"/>
  <c r="AP31" i="5"/>
  <c r="AP482" i="5"/>
  <c r="AP196" i="5"/>
  <c r="AP104" i="5"/>
  <c r="AP115" i="5"/>
  <c r="AP263" i="5"/>
  <c r="AP114" i="5"/>
  <c r="AP108" i="5"/>
  <c r="AP249" i="5"/>
  <c r="AP112" i="5"/>
  <c r="AP103" i="5"/>
  <c r="AP534" i="5"/>
  <c r="AP368" i="5"/>
  <c r="AP207" i="5"/>
  <c r="AP221" i="5"/>
  <c r="AP287" i="5"/>
  <c r="AP175" i="5"/>
  <c r="AP41" i="5"/>
  <c r="AP208" i="5"/>
  <c r="AP292" i="5"/>
  <c r="AP140" i="5"/>
  <c r="AP215" i="5"/>
  <c r="AP279" i="5"/>
  <c r="AP399" i="5"/>
  <c r="AP212" i="5"/>
  <c r="AP394" i="5"/>
  <c r="AP77" i="5"/>
  <c r="AP345" i="5"/>
  <c r="AP67" i="5"/>
  <c r="AP485" i="5"/>
  <c r="AP177" i="5"/>
  <c r="AP400" i="5"/>
  <c r="AP56" i="5"/>
  <c r="AP247" i="5"/>
  <c r="AP304" i="5"/>
  <c r="AP303" i="5"/>
  <c r="AP157" i="5"/>
  <c r="AP47" i="5"/>
  <c r="AP453" i="5"/>
  <c r="AP326" i="5"/>
  <c r="AP401" i="5"/>
  <c r="AP265" i="5"/>
  <c r="AP145" i="5"/>
  <c r="AP531" i="5"/>
  <c r="AP536" i="5"/>
  <c r="AP27" i="5"/>
  <c r="AP424" i="5"/>
  <c r="AP74" i="5"/>
  <c r="AP558" i="5"/>
  <c r="AP475" i="5"/>
  <c r="AP275" i="5"/>
  <c r="AP330" i="5"/>
  <c r="AP246" i="5"/>
  <c r="AP194" i="5"/>
  <c r="AP496" i="5"/>
  <c r="AP36" i="5"/>
  <c r="AP390" i="5"/>
  <c r="AP552" i="5"/>
  <c r="AP514" i="5"/>
  <c r="AP272" i="5"/>
  <c r="AP73" i="5"/>
  <c r="AP20" i="5"/>
  <c r="AP131" i="5"/>
  <c r="AP35" i="5"/>
  <c r="AP180" i="5"/>
  <c r="AP512" i="5"/>
  <c r="AP498" i="5"/>
  <c r="AP110" i="5"/>
  <c r="AP281" i="5"/>
  <c r="AP456" i="5"/>
  <c r="AP473" i="5"/>
  <c r="AP462" i="5"/>
  <c r="AP434" i="5"/>
  <c r="AP538" i="5"/>
  <c r="AP169" i="5"/>
  <c r="AP39" i="5"/>
  <c r="AP343" i="5"/>
  <c r="AP439" i="5"/>
  <c r="AP229" i="5"/>
  <c r="AP193" i="5"/>
  <c r="AP416" i="5"/>
  <c r="AP181" i="5"/>
  <c r="AP511" i="5"/>
  <c r="AP524" i="5"/>
  <c r="AP504" i="5"/>
  <c r="AP309" i="5"/>
  <c r="AP336" i="5"/>
  <c r="AP324" i="5"/>
  <c r="AP333" i="5"/>
  <c r="AP70" i="5"/>
  <c r="AP75" i="5"/>
  <c r="AP435" i="5"/>
  <c r="AP315" i="5"/>
  <c r="AP296" i="5"/>
  <c r="AP172" i="5"/>
  <c r="AP530" i="5"/>
  <c r="AP217" i="5"/>
  <c r="AP422" i="5"/>
  <c r="AP183" i="5"/>
  <c r="AP382" i="5"/>
  <c r="AP420" i="5"/>
  <c r="AP239" i="5"/>
  <c r="AP95" i="5"/>
  <c r="AP354" i="5"/>
  <c r="AP557" i="5"/>
  <c r="AP271" i="5"/>
  <c r="AP91" i="5"/>
  <c r="AP118" i="5"/>
  <c r="AP325" i="5"/>
  <c r="AP492" i="5"/>
  <c r="AP316" i="5"/>
  <c r="AP499" i="5"/>
  <c r="AP178" i="5"/>
  <c r="AP286" i="5"/>
  <c r="AP148" i="5"/>
  <c r="AP214" i="5"/>
  <c r="AP297" i="5"/>
  <c r="AP269" i="5"/>
  <c r="AP100" i="5"/>
  <c r="AP450" i="5"/>
  <c r="AP202" i="5"/>
  <c r="AP398" i="5"/>
  <c r="AP298" i="5"/>
  <c r="AP516" i="5"/>
  <c r="AP40" i="5"/>
  <c r="AP136" i="5"/>
  <c r="AP547" i="5"/>
  <c r="AP471" i="5"/>
  <c r="AP23" i="5"/>
  <c r="AP152" i="5"/>
  <c r="AP493" i="5"/>
  <c r="AP139" i="5"/>
  <c r="AP510" i="5"/>
  <c r="AP197" i="5"/>
  <c r="AP268" i="5"/>
  <c r="AP254" i="5"/>
  <c r="AP173" i="5"/>
  <c r="AP266" i="5"/>
  <c r="AP295" i="5"/>
  <c r="AP289" i="5"/>
  <c r="AP481" i="5"/>
  <c r="AP437" i="5"/>
  <c r="AP532" i="5"/>
  <c r="AP373" i="5"/>
  <c r="AP367" i="5"/>
  <c r="AP107" i="5"/>
  <c r="AP369" i="5"/>
  <c r="AP12" i="5"/>
  <c r="AP364" i="5"/>
  <c r="AP338" i="5"/>
  <c r="AP341" i="5"/>
  <c r="AP80" i="5"/>
  <c r="AP397" i="5"/>
  <c r="AP489" i="5"/>
  <c r="AP8" i="5"/>
  <c r="AP155" i="5"/>
  <c r="AP533" i="5"/>
  <c r="AP488" i="5"/>
  <c r="AP162" i="5"/>
  <c r="AP535" i="5"/>
  <c r="AP384" i="5"/>
  <c r="AP361" i="5"/>
  <c r="AP302" i="5"/>
  <c r="AP120" i="5"/>
  <c r="AP206" i="5"/>
  <c r="AP168" i="5"/>
  <c r="AP546" i="5"/>
  <c r="AP13" i="5"/>
  <c r="AP235" i="5"/>
  <c r="AP90" i="5"/>
  <c r="AP433" i="5"/>
  <c r="AP126" i="5"/>
  <c r="AP455" i="5"/>
  <c r="AP449" i="5"/>
  <c r="AP129" i="5"/>
  <c r="AP469" i="5"/>
  <c r="AP300" i="5"/>
  <c r="AP515" i="5"/>
  <c r="AP438" i="5"/>
  <c r="AP161" i="5"/>
  <c r="AP410" i="5"/>
  <c r="AP128" i="5"/>
  <c r="AP350" i="5"/>
  <c r="AP86" i="5"/>
  <c r="AP66" i="5"/>
  <c r="AP69" i="5"/>
  <c r="AP458" i="5"/>
  <c r="AP211" i="5"/>
  <c r="AP132" i="5"/>
  <c r="AP356" i="5"/>
  <c r="AP186" i="5"/>
  <c r="AP490" i="5"/>
  <c r="AP407" i="5"/>
  <c r="AP348" i="5"/>
  <c r="AP160" i="5"/>
  <c r="AP327" i="5"/>
  <c r="AP116" i="5"/>
  <c r="AP432" i="5"/>
  <c r="AP468" i="5"/>
  <c r="AP560" i="5"/>
  <c r="AP311" i="5"/>
  <c r="AP32" i="5"/>
  <c r="AP63" i="5"/>
  <c r="AP222" i="5"/>
  <c r="AP317" i="5"/>
  <c r="AP431" i="5"/>
  <c r="AP412" i="5"/>
  <c r="AP310" i="5"/>
  <c r="AP117" i="5"/>
  <c r="AP171" i="5"/>
  <c r="AP477" i="5"/>
  <c r="AP357" i="5"/>
  <c r="AP478" i="5"/>
  <c r="AP349" i="5"/>
  <c r="AP141" i="5"/>
  <c r="AP467" i="5"/>
  <c r="AP385" i="5"/>
  <c r="AP291" i="5"/>
  <c r="AP216" i="5"/>
  <c r="AP283" i="5"/>
  <c r="AP187" i="5"/>
  <c r="AP270" i="5"/>
  <c r="AP264" i="5"/>
  <c r="AP125" i="5"/>
  <c r="AP418" i="5"/>
  <c r="AP59" i="5"/>
  <c r="AP38" i="5"/>
  <c r="AP21" i="5"/>
  <c r="AP28" i="5"/>
  <c r="AP19" i="5"/>
  <c r="AP318" i="5"/>
  <c r="AP509" i="5"/>
  <c r="AP256" i="5"/>
  <c r="AP359" i="5"/>
  <c r="AP227" i="5"/>
  <c r="AP277" i="5"/>
  <c r="AP248" i="5"/>
  <c r="AP428" i="5"/>
  <c r="AP347" i="5"/>
  <c r="AP457" i="5"/>
  <c r="AP153" i="5"/>
  <c r="AP195" i="5"/>
  <c r="AP414" i="5"/>
  <c r="AP393" i="5"/>
  <c r="AP332" i="5"/>
  <c r="AP379" i="5"/>
  <c r="AP312" i="5"/>
  <c r="AP151" i="5"/>
  <c r="AP409" i="5"/>
  <c r="AP29" i="5"/>
  <c r="AP190" i="5"/>
  <c r="AP523" i="5"/>
  <c r="AP159" i="5"/>
  <c r="AP121" i="5"/>
  <c r="AP335" i="5"/>
  <c r="AP262" i="5"/>
  <c r="AP133" i="5"/>
  <c r="AP472" i="5"/>
  <c r="AP337" i="5"/>
  <c r="AP146" i="5"/>
  <c r="AP43" i="5"/>
  <c r="AP60" i="5"/>
  <c r="AP83" i="5"/>
  <c r="AP314" i="5"/>
  <c r="AP513" i="5"/>
  <c r="AP34" i="5"/>
  <c r="AP366" i="5"/>
  <c r="AP460" i="5"/>
  <c r="AP259" i="5"/>
  <c r="AP204" i="5"/>
  <c r="AP372" i="5"/>
  <c r="AP308" i="5"/>
  <c r="AP138" i="5"/>
  <c r="AP250" i="5"/>
  <c r="AP253" i="5"/>
  <c r="AP240" i="5"/>
  <c r="AP228" i="5"/>
  <c r="AP525" i="5"/>
  <c r="AP502" i="5"/>
  <c r="AP329" i="5"/>
  <c r="AP111" i="5"/>
  <c r="AP93" i="5"/>
  <c r="AP392" i="5"/>
  <c r="AP486" i="5"/>
  <c r="AP109" i="5"/>
  <c r="AP495" i="5"/>
  <c r="AP522" i="5"/>
  <c r="AP419" i="5"/>
  <c r="AP342" i="5"/>
  <c r="AP541" i="5"/>
  <c r="AP238" i="5"/>
  <c r="AP52" i="5"/>
  <c r="AP284" i="5"/>
  <c r="AP559" i="5"/>
  <c r="AP444" i="5"/>
  <c r="AP7" i="5"/>
  <c r="AP508" i="5"/>
  <c r="AP278" i="5"/>
  <c r="AP274" i="5"/>
  <c r="AP487" i="5"/>
  <c r="AP319" i="5"/>
  <c r="AP255" i="5"/>
  <c r="AP163" i="5"/>
  <c r="AP142" i="5"/>
  <c r="AP174" i="5"/>
  <c r="AP231" i="5"/>
  <c r="AP245" i="5"/>
  <c r="AP396" i="5"/>
  <c r="AP497" i="5"/>
  <c r="AP423" i="5"/>
  <c r="AP480" i="5"/>
  <c r="AP374" i="5"/>
  <c r="AP94" i="5"/>
  <c r="AP185" i="5"/>
  <c r="AP257" i="5"/>
  <c r="AP218" i="5"/>
  <c r="AP446" i="5"/>
  <c r="AP84" i="5"/>
  <c r="AP72" i="5"/>
  <c r="AP404" i="5"/>
  <c r="AP389" i="5"/>
  <c r="AP45" i="5"/>
  <c r="AP49" i="5"/>
  <c r="AP430" i="5"/>
  <c r="AP51" i="5"/>
  <c r="AP358" i="5"/>
  <c r="AP244" i="5"/>
  <c r="AP378" i="5"/>
  <c r="AP331" i="5"/>
  <c r="AP555" i="5"/>
  <c r="AP387" i="5"/>
  <c r="AP184" i="5"/>
  <c r="AP30" i="5"/>
  <c r="AP205" i="5"/>
  <c r="AP182" i="5"/>
  <c r="AP101" i="5"/>
  <c r="AP106" i="5"/>
  <c r="AP58" i="5"/>
  <c r="AP105" i="5"/>
  <c r="AP320" i="5"/>
  <c r="AP375" i="5"/>
  <c r="AP451" i="5"/>
  <c r="AP44" i="5"/>
  <c r="AP395" i="5"/>
  <c r="AP288" i="5"/>
  <c r="AP285" i="5"/>
  <c r="AP223" i="5"/>
  <c r="AP96" i="5"/>
  <c r="AP92" i="5"/>
  <c r="AP164" i="5"/>
  <c r="AP24" i="5"/>
  <c r="AP363" i="5"/>
  <c r="AP305" i="5"/>
  <c r="AP251" i="5"/>
  <c r="AP293" i="5"/>
  <c r="AP33" i="5"/>
  <c r="AP501" i="5"/>
  <c r="AP346" i="5"/>
  <c r="AP543" i="5"/>
  <c r="AP518" i="5"/>
  <c r="AP528" i="5"/>
  <c r="AP124" i="5"/>
  <c r="AP301" i="5"/>
  <c r="AP261" i="5"/>
  <c r="AP98" i="5"/>
  <c r="AP454" i="5"/>
  <c r="AP476" i="5"/>
  <c r="AP307" i="5"/>
  <c r="AP65" i="5"/>
  <c r="AP191" i="5"/>
  <c r="AP391" i="5"/>
  <c r="AP170" i="5"/>
  <c r="AP97" i="5"/>
  <c r="AP53" i="5"/>
  <c r="AP224" i="5"/>
  <c r="AP99" i="5"/>
  <c r="AP226" i="5"/>
  <c r="AP383" i="5"/>
  <c r="AP551" i="5"/>
  <c r="AP230" i="5"/>
  <c r="AP158" i="5"/>
  <c r="AP452" i="5"/>
  <c r="AP548" i="5"/>
  <c r="AP192" i="5"/>
  <c r="AP505" i="5"/>
  <c r="AP365" i="5"/>
  <c r="AP466" i="5"/>
  <c r="AP426" i="5"/>
  <c r="AP68" i="5"/>
  <c r="AP352" i="5"/>
  <c r="AP87" i="5"/>
  <c r="AP544" i="5"/>
  <c r="AP542" i="5"/>
  <c r="AP46" i="5"/>
  <c r="AP25" i="5"/>
  <c r="AP135" i="5"/>
  <c r="AP355" i="5"/>
  <c r="AP503" i="5"/>
  <c r="AP81" i="5"/>
  <c r="AP406" i="5"/>
  <c r="AP134" i="5"/>
  <c r="AP273" i="5"/>
  <c r="AP506" i="5"/>
  <c r="AP494" i="5"/>
  <c r="AP386" i="5"/>
  <c r="AP306" i="5"/>
  <c r="AP388" i="5"/>
  <c r="AP260" i="5"/>
  <c r="AP500" i="5"/>
  <c r="AP483" i="5"/>
  <c r="AP376" i="5"/>
  <c r="AP201" i="5"/>
  <c r="AP464" i="5"/>
  <c r="AP179" i="5"/>
  <c r="AP282" i="5"/>
  <c r="AP123" i="5"/>
  <c r="AP176" i="5"/>
  <c r="AP241" i="5"/>
  <c r="AP258" i="5"/>
  <c r="AP440" i="5"/>
  <c r="AP79" i="5"/>
  <c r="AP443" i="5"/>
  <c r="AP150" i="5"/>
  <c r="AP339" i="5"/>
  <c r="AP143" i="5"/>
  <c r="AP54" i="5"/>
  <c r="AP459" i="5"/>
  <c r="AP436" i="5"/>
  <c r="AP344" i="5"/>
  <c r="AP448" i="5"/>
  <c r="AP290" i="5"/>
  <c r="AP267" i="5"/>
  <c r="AP328" i="5"/>
  <c r="AP127" i="5"/>
  <c r="AP519" i="5"/>
  <c r="AP429" i="5"/>
  <c r="AP232" i="5"/>
  <c r="AP189" i="5"/>
  <c r="AP529" i="5"/>
  <c r="AP62" i="5"/>
  <c r="AP425" i="5"/>
  <c r="AP85" i="5"/>
  <c r="AP520" i="5"/>
  <c r="AP323" i="5"/>
  <c r="AP149" i="5"/>
  <c r="AP408" i="5"/>
  <c r="AP381" i="5"/>
  <c r="AP527" i="5"/>
  <c r="AP55" i="5"/>
  <c r="AP321" i="5"/>
  <c r="AP147" i="5"/>
  <c r="AP137" i="5"/>
  <c r="AP353" i="5"/>
  <c r="AP484" i="5"/>
  <c r="AP549" i="5"/>
  <c r="AP405" i="5"/>
  <c r="AP119" i="5"/>
  <c r="AP200" i="5"/>
  <c r="AP554" i="5"/>
  <c r="AP130" i="5"/>
  <c r="AP445" i="5"/>
  <c r="AP237" i="5"/>
  <c r="AP553" i="5"/>
  <c r="AP463" i="5"/>
  <c r="AP526" i="5"/>
  <c r="AP537" i="5"/>
  <c r="AP517" i="5"/>
  <c r="AP521" i="5"/>
  <c r="AP322" i="5"/>
  <c r="AP421" i="5"/>
  <c r="AN190" i="5"/>
  <c r="AO190" i="5"/>
  <c r="AN375" i="5"/>
  <c r="AO375" i="5"/>
  <c r="AO391" i="5"/>
  <c r="AN391" i="5"/>
  <c r="AO536" i="5"/>
  <c r="AN536" i="5"/>
  <c r="AO208" i="5"/>
  <c r="AN208" i="5"/>
  <c r="AO479" i="5"/>
  <c r="AN479" i="5"/>
  <c r="AO43" i="5"/>
  <c r="AN43" i="5"/>
  <c r="AO542" i="5"/>
  <c r="AN542" i="5"/>
  <c r="AN287" i="5"/>
  <c r="AO287" i="5"/>
  <c r="AN343" i="5"/>
  <c r="AO343" i="5"/>
  <c r="AN423" i="5"/>
  <c r="AO423" i="5"/>
  <c r="AO41" i="5"/>
  <c r="AN41" i="5"/>
  <c r="AO197" i="5"/>
  <c r="AN197" i="5"/>
  <c r="AN447" i="5"/>
  <c r="AO447" i="5"/>
  <c r="AO155" i="5"/>
  <c r="AN155" i="5"/>
  <c r="AN546" i="5"/>
  <c r="AO546" i="5"/>
  <c r="AN503" i="5"/>
  <c r="AO503" i="5"/>
  <c r="AN390" i="5"/>
  <c r="AO390" i="5"/>
  <c r="AO59" i="5"/>
  <c r="AN59" i="5"/>
  <c r="AN227" i="5"/>
  <c r="AO227" i="5"/>
  <c r="AO422" i="5"/>
  <c r="AN422" i="5"/>
  <c r="AN282" i="5"/>
  <c r="AO282" i="5"/>
  <c r="AO54" i="5"/>
  <c r="AN54" i="5"/>
  <c r="AN42" i="5"/>
  <c r="AO42" i="5"/>
  <c r="AN108" i="5"/>
  <c r="AO108" i="5"/>
  <c r="AN33" i="5"/>
  <c r="AO33" i="5"/>
  <c r="AN70" i="5"/>
  <c r="AO70" i="5"/>
  <c r="AO435" i="5"/>
  <c r="AN435" i="5"/>
  <c r="AO162" i="5"/>
  <c r="AN162" i="5"/>
  <c r="AN529" i="5"/>
  <c r="AO529" i="5"/>
  <c r="AO522" i="5"/>
  <c r="AN522" i="5"/>
  <c r="AO154" i="5"/>
  <c r="AN154" i="5"/>
  <c r="AO337" i="5"/>
  <c r="AN337" i="5"/>
  <c r="AN384" i="5"/>
  <c r="AO384" i="5"/>
  <c r="AN332" i="5"/>
  <c r="AO332" i="5"/>
  <c r="AN40" i="5"/>
  <c r="AO40" i="5"/>
  <c r="AO209" i="5"/>
  <c r="AN209" i="5"/>
  <c r="AN292" i="5"/>
  <c r="AO292" i="5"/>
  <c r="AN147" i="5"/>
  <c r="AO147" i="5"/>
  <c r="AN478" i="5"/>
  <c r="AO478" i="5"/>
  <c r="AN410" i="5"/>
  <c r="AO410" i="5"/>
  <c r="AO281" i="5"/>
  <c r="AN281" i="5"/>
  <c r="AN7" i="5"/>
  <c r="AO7" i="5"/>
  <c r="AN428" i="5"/>
  <c r="AO428" i="5"/>
  <c r="AO359" i="5"/>
  <c r="AN359" i="5"/>
  <c r="AN346" i="5"/>
  <c r="AO346" i="5"/>
  <c r="AO557" i="5"/>
  <c r="AN557" i="5"/>
  <c r="AN534" i="5"/>
  <c r="AO534" i="5"/>
  <c r="AO341" i="5"/>
  <c r="AN341" i="5"/>
  <c r="AN174" i="5"/>
  <c r="AO174" i="5"/>
  <c r="AN344" i="5"/>
  <c r="AO344" i="5"/>
  <c r="AO278" i="5"/>
  <c r="AN278" i="5"/>
  <c r="AN145" i="5"/>
  <c r="AO145" i="5"/>
  <c r="AN289" i="5"/>
  <c r="AO289" i="5"/>
  <c r="AO167" i="5"/>
  <c r="AN167" i="5"/>
  <c r="AN31" i="5"/>
  <c r="AO31" i="5"/>
  <c r="AN175" i="5"/>
  <c r="AO175" i="5"/>
  <c r="AN464" i="5"/>
  <c r="AO464" i="5"/>
  <c r="AO420" i="5"/>
  <c r="AN420" i="5"/>
  <c r="AN326" i="5"/>
  <c r="AO326" i="5"/>
  <c r="AN76" i="5"/>
  <c r="AO76" i="5"/>
  <c r="AN64" i="5"/>
  <c r="AO64" i="5"/>
  <c r="AO356" i="5"/>
  <c r="AN356" i="5"/>
  <c r="AO214" i="5"/>
  <c r="AN214" i="5"/>
  <c r="AO404" i="5"/>
  <c r="AN404" i="5"/>
  <c r="AO521" i="5"/>
  <c r="AN521" i="5"/>
  <c r="AN232" i="5"/>
  <c r="AO232" i="5"/>
  <c r="AH67" i="4"/>
  <c r="AH99" i="4"/>
  <c r="AH83" i="4"/>
  <c r="AH16" i="4"/>
  <c r="Y549" i="5"/>
  <c r="X549" i="5"/>
  <c r="X405" i="5"/>
  <c r="Y405" i="5"/>
  <c r="Y350" i="5"/>
  <c r="X350" i="5"/>
  <c r="X141" i="5"/>
  <c r="Y141" i="5"/>
  <c r="X522" i="5"/>
  <c r="Y522" i="5"/>
  <c r="X460" i="5"/>
  <c r="Y460" i="5"/>
  <c r="Y334" i="5"/>
  <c r="X334" i="5"/>
  <c r="Y291" i="5"/>
  <c r="X291" i="5"/>
  <c r="Y222" i="5"/>
  <c r="X222" i="5"/>
  <c r="Y309" i="5"/>
  <c r="X309" i="5"/>
  <c r="Y98" i="5"/>
  <c r="X98" i="5"/>
  <c r="X518" i="5"/>
  <c r="Y518" i="5"/>
  <c r="Y428" i="5"/>
  <c r="X428" i="5"/>
  <c r="Y403" i="5"/>
  <c r="X403" i="5"/>
  <c r="X396" i="5"/>
  <c r="Y396" i="5"/>
  <c r="Y470" i="5"/>
  <c r="X470" i="5"/>
  <c r="Y26" i="5"/>
  <c r="X26" i="5"/>
  <c r="X145" i="5"/>
  <c r="Y145" i="5"/>
  <c r="X275" i="5"/>
  <c r="Y275" i="5"/>
  <c r="X54" i="5"/>
  <c r="Y54" i="5"/>
  <c r="X339" i="5"/>
  <c r="Y339" i="5"/>
  <c r="Y246" i="5"/>
  <c r="X246" i="5"/>
  <c r="X418" i="5"/>
  <c r="Y418" i="5"/>
  <c r="X207" i="5"/>
  <c r="Y207" i="5"/>
  <c r="Y277" i="5"/>
  <c r="X277" i="5"/>
  <c r="X517" i="5"/>
  <c r="Y517" i="5"/>
  <c r="Y380" i="5"/>
  <c r="X380" i="5"/>
  <c r="Y244" i="5"/>
  <c r="X244" i="5"/>
  <c r="Y524" i="5"/>
  <c r="X524" i="5"/>
  <c r="X164" i="5"/>
  <c r="Y164" i="5"/>
  <c r="Y491" i="5"/>
  <c r="X491" i="5"/>
  <c r="X397" i="5"/>
  <c r="Y397" i="5"/>
  <c r="Y163" i="5"/>
  <c r="X163" i="5"/>
  <c r="Y505" i="5"/>
  <c r="X505" i="5"/>
  <c r="X308" i="5"/>
  <c r="Y308" i="5"/>
  <c r="Y160" i="5"/>
  <c r="X160" i="5"/>
  <c r="Y245" i="5"/>
  <c r="X245" i="5"/>
  <c r="X449" i="5"/>
  <c r="Y449" i="5"/>
  <c r="Y464" i="5"/>
  <c r="X464" i="5"/>
  <c r="X550" i="5"/>
  <c r="Y550" i="5"/>
  <c r="X105" i="5"/>
  <c r="Y105" i="5"/>
  <c r="Y35" i="5"/>
  <c r="X35" i="5"/>
  <c r="Y219" i="5"/>
  <c r="X219" i="5"/>
  <c r="X70" i="5"/>
  <c r="Y70" i="5"/>
  <c r="X69" i="5"/>
  <c r="Y69" i="5"/>
  <c r="Y387" i="5"/>
  <c r="X387" i="5"/>
  <c r="X395" i="5"/>
  <c r="Y395" i="5"/>
  <c r="X220" i="5"/>
  <c r="Y220" i="5"/>
  <c r="Y419" i="5"/>
  <c r="X419" i="5"/>
  <c r="X32" i="5"/>
  <c r="Y32" i="5"/>
  <c r="X367" i="5"/>
  <c r="Y367" i="5"/>
  <c r="Y239" i="5"/>
  <c r="X239" i="5"/>
  <c r="Y462" i="5"/>
  <c r="X462" i="5"/>
  <c r="Y343" i="5"/>
  <c r="X343" i="5"/>
  <c r="Y349" i="5"/>
  <c r="X349" i="5"/>
  <c r="X132" i="5"/>
  <c r="Y132" i="5"/>
  <c r="X21" i="5"/>
  <c r="Y21" i="5"/>
  <c r="Y106" i="5"/>
  <c r="X106" i="5"/>
  <c r="X329" i="5"/>
  <c r="Y329" i="5"/>
  <c r="X81" i="5"/>
  <c r="Y81" i="5"/>
  <c r="X382" i="5"/>
  <c r="Y382" i="5"/>
  <c r="X185" i="5"/>
  <c r="Y185" i="5"/>
  <c r="X121" i="5"/>
  <c r="Y121" i="5"/>
  <c r="X456" i="5"/>
  <c r="Y456" i="5"/>
  <c r="Y511" i="5"/>
  <c r="X511" i="5"/>
  <c r="X68" i="5"/>
  <c r="Y68" i="5"/>
  <c r="Y287" i="5"/>
  <c r="X287" i="5"/>
  <c r="X173" i="5"/>
  <c r="Y173" i="5"/>
  <c r="AM68" i="4"/>
  <c r="W68" i="4"/>
  <c r="Y68" i="4" s="1"/>
  <c r="AR68" i="4" s="1"/>
  <c r="AH144" i="4"/>
  <c r="AH7" i="4"/>
  <c r="AM135" i="4"/>
  <c r="AH59" i="4"/>
  <c r="AH155" i="4"/>
  <c r="W18" i="4"/>
  <c r="Y18" i="4" s="1"/>
  <c r="AR18" i="4" s="1"/>
  <c r="AM18" i="4"/>
  <c r="AM26" i="4"/>
  <c r="W26" i="4"/>
  <c r="Y26" i="4" s="1"/>
  <c r="AR26" i="4" s="1"/>
  <c r="B237" i="2"/>
  <c r="B245" i="2" s="1"/>
  <c r="B281" i="2" s="1"/>
  <c r="F110" i="1" s="1"/>
  <c r="B226" i="2"/>
  <c r="B234" i="2" s="1"/>
  <c r="B241" i="2" s="1"/>
  <c r="AH119" i="4"/>
  <c r="AM148" i="4"/>
  <c r="W148" i="4"/>
  <c r="Y148" i="4" s="1"/>
  <c r="AR148" i="4" s="1"/>
  <c r="W63" i="4"/>
  <c r="Y63" i="4" s="1"/>
  <c r="AR63" i="4" s="1"/>
  <c r="AM63" i="4"/>
  <c r="AH35" i="4"/>
  <c r="W21" i="4"/>
  <c r="Y21" i="4" s="1"/>
  <c r="AR21" i="4" s="1"/>
  <c r="AM21" i="4"/>
  <c r="AH130" i="4"/>
  <c r="AH82" i="4"/>
  <c r="AM109" i="4"/>
  <c r="W109" i="4"/>
  <c r="Y109" i="4" s="1"/>
  <c r="AR109" i="4" s="1"/>
  <c r="AH103" i="4"/>
  <c r="AM149" i="4"/>
  <c r="W149" i="4"/>
  <c r="Y149" i="4" s="1"/>
  <c r="AR149" i="4" s="1"/>
  <c r="AH23" i="4"/>
  <c r="AO115" i="5"/>
  <c r="AN115" i="5"/>
  <c r="AH118" i="4"/>
  <c r="B39" i="5"/>
  <c r="Q37" i="5" s="1"/>
  <c r="AF37" i="5" s="1"/>
  <c r="AO83" i="5"/>
  <c r="AN83" i="5"/>
  <c r="AN244" i="5"/>
  <c r="AO244" i="5"/>
  <c r="AN383" i="5"/>
  <c r="AO383" i="5"/>
  <c r="AN309" i="5"/>
  <c r="AO309" i="5"/>
  <c r="AO377" i="5"/>
  <c r="AN377" i="5"/>
  <c r="AO61" i="5"/>
  <c r="AN61" i="5"/>
  <c r="AN164" i="5"/>
  <c r="AO164" i="5"/>
  <c r="AN368" i="5"/>
  <c r="AO368" i="5"/>
  <c r="AN373" i="5"/>
  <c r="AO373" i="5"/>
  <c r="AO352" i="5"/>
  <c r="AN352" i="5"/>
  <c r="AN298" i="5"/>
  <c r="AO298" i="5"/>
  <c r="AO106" i="5"/>
  <c r="AN106" i="5"/>
  <c r="AO348" i="5"/>
  <c r="AN348" i="5"/>
  <c r="AO265" i="5"/>
  <c r="AN265" i="5"/>
  <c r="AO458" i="5"/>
  <c r="AN458" i="5"/>
  <c r="AN443" i="5"/>
  <c r="AO443" i="5"/>
  <c r="AO44" i="5"/>
  <c r="AN44" i="5"/>
  <c r="AN68" i="5"/>
  <c r="AO68" i="5"/>
  <c r="AO23" i="5"/>
  <c r="AN23" i="5"/>
  <c r="AO245" i="5"/>
  <c r="AN245" i="5"/>
  <c r="AO92" i="5"/>
  <c r="AN92" i="5"/>
  <c r="AO517" i="5"/>
  <c r="AN517" i="5"/>
  <c r="AN223" i="5"/>
  <c r="AO223" i="5"/>
  <c r="AN366" i="5"/>
  <c r="AO366" i="5"/>
  <c r="AO184" i="5"/>
  <c r="AN184" i="5"/>
  <c r="AO107" i="5"/>
  <c r="AN107" i="5"/>
  <c r="AN371" i="5"/>
  <c r="AO371" i="5"/>
  <c r="AN85" i="5"/>
  <c r="AO85" i="5"/>
  <c r="AN170" i="5"/>
  <c r="AO170" i="5"/>
  <c r="AO394" i="5"/>
  <c r="AN394" i="5"/>
  <c r="AN211" i="5"/>
  <c r="AO211" i="5"/>
  <c r="AO411" i="5"/>
  <c r="AN411" i="5"/>
  <c r="AN137" i="5"/>
  <c r="AO137" i="5"/>
  <c r="AO95" i="5"/>
  <c r="AN95" i="5"/>
  <c r="AN185" i="5"/>
  <c r="AO185" i="5"/>
  <c r="AO138" i="5"/>
  <c r="AN138" i="5"/>
  <c r="AN267" i="5"/>
  <c r="AO267" i="5"/>
  <c r="AN192" i="5"/>
  <c r="AO192" i="5"/>
  <c r="AO531" i="5"/>
  <c r="AN531" i="5"/>
  <c r="AO274" i="5"/>
  <c r="AN274" i="5"/>
  <c r="AO96" i="5"/>
  <c r="AN96" i="5"/>
  <c r="AN445" i="5"/>
  <c r="AO445" i="5"/>
  <c r="AN168" i="5"/>
  <c r="AO168" i="5"/>
  <c r="AO504" i="5"/>
  <c r="AN504" i="5"/>
  <c r="AO284" i="5"/>
  <c r="AN284" i="5"/>
  <c r="AN247" i="5"/>
  <c r="AO247" i="5"/>
  <c r="AN409" i="5"/>
  <c r="AO409" i="5"/>
  <c r="AO20" i="5"/>
  <c r="AN20" i="5"/>
  <c r="AO45" i="5"/>
  <c r="AN45" i="5"/>
  <c r="AO235" i="5"/>
  <c r="AN235" i="5"/>
  <c r="AO179" i="5"/>
  <c r="AN179" i="5"/>
  <c r="AO376" i="5"/>
  <c r="AN376" i="5"/>
  <c r="AO321" i="5"/>
  <c r="AN321" i="5"/>
  <c r="AN294" i="5"/>
  <c r="AO294" i="5"/>
  <c r="AN481" i="5"/>
  <c r="AO481" i="5"/>
  <c r="AN63" i="5"/>
  <c r="AO63" i="5"/>
  <c r="AN144" i="5"/>
  <c r="AO144" i="5"/>
  <c r="AN206" i="5"/>
  <c r="AO206" i="5"/>
  <c r="AN122" i="5"/>
  <c r="AO122" i="5"/>
  <c r="AO233" i="5"/>
  <c r="AN233" i="5"/>
  <c r="AO300" i="5"/>
  <c r="AN300" i="5"/>
  <c r="AO372" i="5"/>
  <c r="AN372" i="5"/>
  <c r="AO500" i="5"/>
  <c r="AN500" i="5"/>
  <c r="AO264" i="5"/>
  <c r="AN264" i="5"/>
  <c r="AO427" i="5"/>
  <c r="AN427" i="5"/>
  <c r="AN424" i="5"/>
  <c r="AO424" i="5"/>
  <c r="AN455" i="5"/>
  <c r="AO455" i="5"/>
  <c r="AO433" i="5"/>
  <c r="AN433" i="5"/>
  <c r="AH40" i="4"/>
  <c r="AM142" i="4"/>
  <c r="W142" i="4"/>
  <c r="Y142" i="4" s="1"/>
  <c r="AR142" i="4" s="1"/>
  <c r="AH139" i="4"/>
  <c r="AH27" i="4"/>
  <c r="Y78" i="5"/>
  <c r="X78" i="5"/>
  <c r="Y361" i="5"/>
  <c r="X361" i="5"/>
  <c r="Y509" i="5"/>
  <c r="X509" i="5"/>
  <c r="X312" i="5"/>
  <c r="Y312" i="5"/>
  <c r="X381" i="5"/>
  <c r="Y381" i="5"/>
  <c r="Y307" i="5"/>
  <c r="X307" i="5"/>
  <c r="Y118" i="5"/>
  <c r="X118" i="5"/>
  <c r="X344" i="5"/>
  <c r="Y344" i="5"/>
  <c r="Y443" i="5"/>
  <c r="X443" i="5"/>
  <c r="Y159" i="5"/>
  <c r="X159" i="5"/>
  <c r="X394" i="5"/>
  <c r="Y394" i="5"/>
  <c r="Y123" i="5"/>
  <c r="X123" i="5"/>
  <c r="X551" i="5"/>
  <c r="Y551" i="5"/>
  <c r="Y503" i="5"/>
  <c r="X503" i="5"/>
  <c r="Y560" i="5"/>
  <c r="X560" i="5"/>
  <c r="X209" i="5"/>
  <c r="Y209" i="5"/>
  <c r="X372" i="5"/>
  <c r="Y372" i="5"/>
  <c r="Y279" i="5"/>
  <c r="X279" i="5"/>
  <c r="Y371" i="5"/>
  <c r="X371" i="5"/>
  <c r="X402" i="5"/>
  <c r="Y402" i="5"/>
  <c r="Y194" i="5"/>
  <c r="X194" i="5"/>
  <c r="X74" i="5"/>
  <c r="Y74" i="5"/>
  <c r="X112" i="5"/>
  <c r="Y112" i="5"/>
  <c r="Y75" i="5"/>
  <c r="X75" i="5"/>
  <c r="Y89" i="5"/>
  <c r="X89" i="5"/>
  <c r="X270" i="5"/>
  <c r="Y270" i="5"/>
  <c r="Y490" i="5"/>
  <c r="X490" i="5"/>
  <c r="X545" i="5"/>
  <c r="Y545" i="5"/>
  <c r="X373" i="5"/>
  <c r="Y373" i="5"/>
  <c r="X554" i="5"/>
  <c r="Y554" i="5"/>
  <c r="X77" i="5"/>
  <c r="Y77" i="5"/>
  <c r="Y433" i="5"/>
  <c r="X433" i="5"/>
  <c r="X147" i="5"/>
  <c r="Y147" i="5"/>
  <c r="X134" i="5"/>
  <c r="Y134" i="5"/>
  <c r="Y362" i="5"/>
  <c r="X362" i="5"/>
  <c r="Y92" i="5"/>
  <c r="X92" i="5"/>
  <c r="X271" i="5"/>
  <c r="Y271" i="5"/>
  <c r="X242" i="5"/>
  <c r="Y242" i="5"/>
  <c r="Y213" i="5"/>
  <c r="X213" i="5"/>
  <c r="X104" i="5"/>
  <c r="Y104" i="5"/>
  <c r="X53" i="5"/>
  <c r="Y53" i="5"/>
  <c r="X162" i="5"/>
  <c r="Y162" i="5"/>
  <c r="Y42" i="5"/>
  <c r="X42" i="5"/>
  <c r="Y273" i="5"/>
  <c r="X273" i="5"/>
  <c r="Y182" i="5"/>
  <c r="X182" i="5"/>
  <c r="X266" i="5"/>
  <c r="Y266" i="5"/>
  <c r="X50" i="5"/>
  <c r="Y50" i="5"/>
  <c r="Y49" i="5"/>
  <c r="X49" i="5"/>
  <c r="Y409" i="5"/>
  <c r="X409" i="5"/>
  <c r="Y154" i="5"/>
  <c r="X154" i="5"/>
  <c r="Y540" i="5"/>
  <c r="X540" i="5"/>
  <c r="X392" i="5"/>
  <c r="Y392" i="5"/>
  <c r="X469" i="5"/>
  <c r="Y469" i="5"/>
  <c r="Y248" i="5"/>
  <c r="X248" i="5"/>
  <c r="Y559" i="5"/>
  <c r="X559" i="5"/>
  <c r="X165" i="5"/>
  <c r="Y165" i="5"/>
  <c r="X192" i="5"/>
  <c r="Y192" i="5"/>
  <c r="X103" i="5"/>
  <c r="Y103" i="5"/>
  <c r="X489" i="5"/>
  <c r="Y489" i="5"/>
  <c r="X84" i="5"/>
  <c r="Y84" i="5"/>
  <c r="X124" i="5"/>
  <c r="Y124" i="5"/>
  <c r="Y528" i="5"/>
  <c r="X528" i="5"/>
  <c r="X322" i="5"/>
  <c r="Y322" i="5"/>
  <c r="Y461" i="5"/>
  <c r="X461" i="5"/>
  <c r="X513" i="5"/>
  <c r="Y513" i="5"/>
  <c r="X388" i="5"/>
  <c r="Y388" i="5"/>
  <c r="Y358" i="5"/>
  <c r="X358" i="5"/>
  <c r="X441" i="5"/>
  <c r="Y441" i="5"/>
  <c r="AH111" i="4"/>
  <c r="AH73" i="4"/>
  <c r="B75" i="2"/>
  <c r="B77" i="2"/>
  <c r="B78" i="2" s="1"/>
  <c r="Y7" i="5"/>
  <c r="X7" i="5"/>
  <c r="AH12" i="4"/>
  <c r="AH81" i="4"/>
  <c r="AM13" i="4"/>
  <c r="W13" i="4"/>
  <c r="Y13" i="4" s="1"/>
  <c r="AR13" i="4" s="1"/>
  <c r="AM41" i="4"/>
  <c r="W41" i="4"/>
  <c r="Y41" i="4" s="1"/>
  <c r="AR41" i="4" s="1"/>
  <c r="AH107" i="4"/>
  <c r="AH149" i="4"/>
  <c r="W40" i="4" l="1"/>
  <c r="Y40" i="4" s="1"/>
  <c r="AR40" i="4" s="1"/>
  <c r="W127" i="4"/>
  <c r="Y127" i="4" s="1"/>
  <c r="AR127" i="4" s="1"/>
  <c r="W53" i="4"/>
  <c r="Y53" i="4" s="1"/>
  <c r="AR53" i="4" s="1"/>
  <c r="W105" i="4"/>
  <c r="Y105" i="4" s="1"/>
  <c r="AR105" i="4" s="1"/>
  <c r="W62" i="4"/>
  <c r="Y62" i="4" s="1"/>
  <c r="AR62" i="4" s="1"/>
  <c r="W146" i="4"/>
  <c r="Y146" i="4" s="1"/>
  <c r="AR146" i="4" s="1"/>
  <c r="AM23" i="4"/>
  <c r="AM44" i="4"/>
  <c r="W45" i="4"/>
  <c r="Y45" i="4" s="1"/>
  <c r="AR45" i="4" s="1"/>
  <c r="AM58" i="4"/>
  <c r="W99" i="4"/>
  <c r="Y99" i="4" s="1"/>
  <c r="AR99" i="4" s="1"/>
  <c r="W98" i="4"/>
  <c r="Y98" i="4" s="1"/>
  <c r="AR98" i="4" s="1"/>
  <c r="AM141" i="4"/>
  <c r="W50" i="4"/>
  <c r="Y50" i="4" s="1"/>
  <c r="AR50" i="4" s="1"/>
  <c r="AM89" i="4"/>
  <c r="AM24" i="4"/>
  <c r="W156" i="4"/>
  <c r="Y156" i="4" s="1"/>
  <c r="AR156" i="4" s="1"/>
  <c r="W102" i="4"/>
  <c r="Y102" i="4" s="1"/>
  <c r="AR102" i="4" s="1"/>
  <c r="W114" i="4"/>
  <c r="Y114" i="4" s="1"/>
  <c r="AR114" i="4" s="1"/>
  <c r="W134" i="4"/>
  <c r="Y134" i="4" s="1"/>
  <c r="AR134" i="4" s="1"/>
  <c r="W52" i="4"/>
  <c r="Y52" i="4" s="1"/>
  <c r="AR52" i="4" s="1"/>
  <c r="AM28" i="4"/>
  <c r="W154" i="4"/>
  <c r="Y154" i="4" s="1"/>
  <c r="AR154" i="4" s="1"/>
  <c r="W83" i="4"/>
  <c r="Y83" i="4" s="1"/>
  <c r="AR83" i="4" s="1"/>
  <c r="W69" i="4"/>
  <c r="Y69" i="4" s="1"/>
  <c r="AR69" i="4" s="1"/>
  <c r="W132" i="4"/>
  <c r="Y132" i="4" s="1"/>
  <c r="AR132" i="4" s="1"/>
  <c r="AM35" i="4"/>
  <c r="W138" i="4"/>
  <c r="Y138" i="4" s="1"/>
  <c r="AR138" i="4" s="1"/>
  <c r="W39" i="4"/>
  <c r="Y39" i="4" s="1"/>
  <c r="AR39" i="4" s="1"/>
  <c r="W112" i="4"/>
  <c r="Y112" i="4" s="1"/>
  <c r="AR112" i="4" s="1"/>
  <c r="W150" i="4"/>
  <c r="Y150" i="4" s="1"/>
  <c r="AR150" i="4" s="1"/>
  <c r="AM60" i="4"/>
  <c r="AM9" i="5"/>
  <c r="AN9" i="5" s="1"/>
  <c r="AC9" i="5"/>
  <c r="W75" i="4"/>
  <c r="Y75" i="4" s="1"/>
  <c r="AR75" i="4" s="1"/>
  <c r="AM9" i="4"/>
  <c r="W143" i="4"/>
  <c r="Y143" i="4" s="1"/>
  <c r="AR143" i="4" s="1"/>
  <c r="AM49" i="4"/>
  <c r="AM101" i="4"/>
  <c r="AM27" i="4"/>
  <c r="AM106" i="4"/>
  <c r="AM96" i="4"/>
  <c r="W86" i="4"/>
  <c r="Y86" i="4" s="1"/>
  <c r="AR86" i="4" s="1"/>
  <c r="AM118" i="4"/>
  <c r="AM84" i="4"/>
  <c r="W126" i="4"/>
  <c r="Y126" i="4" s="1"/>
  <c r="AR126" i="4" s="1"/>
  <c r="W29" i="4"/>
  <c r="Y29" i="4" s="1"/>
  <c r="AR29" i="4" s="1"/>
  <c r="W92" i="4"/>
  <c r="Y92" i="4" s="1"/>
  <c r="AR92" i="4" s="1"/>
  <c r="W100" i="4"/>
  <c r="Y100" i="4" s="1"/>
  <c r="AR100" i="4" s="1"/>
  <c r="AM104" i="4"/>
  <c r="W14" i="4"/>
  <c r="Y14" i="4" s="1"/>
  <c r="AR14" i="4" s="1"/>
  <c r="W57" i="4"/>
  <c r="Y57" i="4" s="1"/>
  <c r="AR57" i="4" s="1"/>
  <c r="AM55" i="4"/>
  <c r="W64" i="4"/>
  <c r="Y64" i="4" s="1"/>
  <c r="AR64" i="4" s="1"/>
  <c r="W130" i="4"/>
  <c r="Y130" i="4" s="1"/>
  <c r="AR130" i="4" s="1"/>
  <c r="AM115" i="4"/>
  <c r="W7" i="4"/>
  <c r="Y7" i="4" s="1"/>
  <c r="AR7" i="4" s="1"/>
  <c r="W61" i="4"/>
  <c r="Y61" i="4" s="1"/>
  <c r="AR61" i="4" s="1"/>
  <c r="W80" i="4"/>
  <c r="Y80" i="4" s="1"/>
  <c r="AR80" i="4" s="1"/>
  <c r="W73" i="4"/>
  <c r="Y73" i="4" s="1"/>
  <c r="AR73" i="4" s="1"/>
  <c r="AM85" i="4"/>
  <c r="W10" i="4"/>
  <c r="Y10" i="4" s="1"/>
  <c r="AR10" i="4" s="1"/>
  <c r="AM31" i="4"/>
  <c r="W151" i="4"/>
  <c r="Y151" i="4" s="1"/>
  <c r="AR151" i="4" s="1"/>
  <c r="AM42" i="4"/>
  <c r="AM88" i="4"/>
  <c r="AM82" i="4"/>
  <c r="W145" i="4"/>
  <c r="Y145" i="4" s="1"/>
  <c r="AR145" i="4" s="1"/>
  <c r="W125" i="4"/>
  <c r="Y125" i="4" s="1"/>
  <c r="AR125" i="4" s="1"/>
  <c r="AE19" i="4"/>
  <c r="W43" i="4"/>
  <c r="Y43" i="4" s="1"/>
  <c r="AR43" i="4" s="1"/>
  <c r="W123" i="4"/>
  <c r="Y123" i="4" s="1"/>
  <c r="AR123" i="4" s="1"/>
  <c r="AH19" i="4"/>
  <c r="W94" i="4"/>
  <c r="Y94" i="4" s="1"/>
  <c r="AR94" i="4" s="1"/>
  <c r="AM38" i="4"/>
  <c r="W66" i="4"/>
  <c r="Y66" i="4" s="1"/>
  <c r="AR66" i="4" s="1"/>
  <c r="AM117" i="4"/>
  <c r="AM155" i="4"/>
  <c r="W20" i="4"/>
  <c r="Y20" i="4" s="1"/>
  <c r="AR20" i="4" s="1"/>
  <c r="W157" i="4"/>
  <c r="Y157" i="4" s="1"/>
  <c r="AR157" i="4" s="1"/>
  <c r="W70" i="4"/>
  <c r="Y70" i="4" s="1"/>
  <c r="AR70" i="4" s="1"/>
  <c r="W103" i="4"/>
  <c r="Y103" i="4" s="1"/>
  <c r="AR103" i="4" s="1"/>
  <c r="W47" i="4"/>
  <c r="Y47" i="4" s="1"/>
  <c r="AR47" i="4" s="1"/>
  <c r="W119" i="4"/>
  <c r="Y119" i="4" s="1"/>
  <c r="AR119" i="4" s="1"/>
  <c r="W144" i="4"/>
  <c r="Y144" i="4" s="1"/>
  <c r="AR144" i="4" s="1"/>
  <c r="W111" i="4"/>
  <c r="Y111" i="4" s="1"/>
  <c r="AR111" i="4" s="1"/>
  <c r="W97" i="4"/>
  <c r="Y97" i="4" s="1"/>
  <c r="AR97" i="4" s="1"/>
  <c r="W46" i="4"/>
  <c r="Y46" i="4" s="1"/>
  <c r="AR46" i="4" s="1"/>
  <c r="W22" i="4"/>
  <c r="Y22" i="4" s="1"/>
  <c r="AR22" i="4" s="1"/>
  <c r="W74" i="4"/>
  <c r="Y74" i="4" s="1"/>
  <c r="AR74" i="4" s="1"/>
  <c r="W25" i="4"/>
  <c r="Y25" i="4" s="1"/>
  <c r="AR25" i="4" s="1"/>
  <c r="W91" i="4"/>
  <c r="Y91" i="4" s="1"/>
  <c r="AR91" i="4" s="1"/>
  <c r="W87" i="4"/>
  <c r="Y87" i="4" s="1"/>
  <c r="AR87" i="4" s="1"/>
  <c r="AM110" i="4"/>
  <c r="W107" i="4"/>
  <c r="Y107" i="4" s="1"/>
  <c r="AR107" i="4" s="1"/>
  <c r="AM122" i="4"/>
  <c r="W121" i="4"/>
  <c r="Y121" i="4" s="1"/>
  <c r="AR121" i="4" s="1"/>
  <c r="W131" i="4"/>
  <c r="Y131" i="4" s="1"/>
  <c r="AR131" i="4" s="1"/>
  <c r="W72" i="4"/>
  <c r="Y72" i="4" s="1"/>
  <c r="AR72" i="4" s="1"/>
  <c r="W71" i="4"/>
  <c r="Y71" i="4" s="1"/>
  <c r="AR71" i="4" s="1"/>
  <c r="W36" i="4"/>
  <c r="Y36" i="4" s="1"/>
  <c r="AR36" i="4" s="1"/>
  <c r="W34" i="4"/>
  <c r="Y34" i="4" s="1"/>
  <c r="AR34" i="4" s="1"/>
  <c r="W133" i="4"/>
  <c r="Y133" i="4" s="1"/>
  <c r="AR133" i="4" s="1"/>
  <c r="W56" i="4"/>
  <c r="Y56" i="4" s="1"/>
  <c r="AR56" i="4" s="1"/>
  <c r="W95" i="4"/>
  <c r="Y95" i="4" s="1"/>
  <c r="AR95" i="4" s="1"/>
  <c r="W12" i="4"/>
  <c r="Y12" i="4" s="1"/>
  <c r="AR12" i="4" s="1"/>
  <c r="W147" i="4"/>
  <c r="Y147" i="4" s="1"/>
  <c r="AR147" i="4" s="1"/>
  <c r="W81" i="4"/>
  <c r="Y81" i="4" s="1"/>
  <c r="AR81" i="4" s="1"/>
  <c r="W152" i="4"/>
  <c r="Y152" i="4" s="1"/>
  <c r="AR152" i="4" s="1"/>
  <c r="W8" i="4"/>
  <c r="Y8" i="4" s="1"/>
  <c r="AR8" i="4" s="1"/>
  <c r="W93" i="4"/>
  <c r="Y93" i="4" s="1"/>
  <c r="AR93" i="4" s="1"/>
  <c r="W48" i="4"/>
  <c r="Y48" i="4" s="1"/>
  <c r="AR48" i="4" s="1"/>
  <c r="W59" i="4"/>
  <c r="Y59" i="4" s="1"/>
  <c r="AR59" i="4" s="1"/>
  <c r="W79" i="4"/>
  <c r="Y79" i="4" s="1"/>
  <c r="AR79" i="4" s="1"/>
  <c r="AM108" i="4"/>
  <c r="AM16" i="4"/>
  <c r="W139" i="4"/>
  <c r="Y139" i="4" s="1"/>
  <c r="AR139" i="4" s="1"/>
  <c r="AE11" i="4"/>
  <c r="R37" i="5"/>
  <c r="S37" i="5"/>
  <c r="AU37" i="5"/>
  <c r="BL37" i="5"/>
  <c r="AT37" i="5"/>
  <c r="AE76" i="4"/>
  <c r="AE44" i="4"/>
  <c r="BC9" i="5"/>
  <c r="BE9" i="5" s="1"/>
  <c r="AZ9" i="5"/>
  <c r="BB9" i="5" s="1"/>
  <c r="Q9" i="5"/>
  <c r="R9" i="5" s="1"/>
  <c r="AJ9" i="5"/>
  <c r="Z9" i="5"/>
  <c r="AB9" i="5" s="1"/>
  <c r="W9" i="5"/>
  <c r="Y9" i="5" s="1"/>
  <c r="T9" i="5"/>
  <c r="V9" i="5" s="1"/>
  <c r="AW9" i="5"/>
  <c r="AY9" i="5" s="1"/>
  <c r="AP9" i="5"/>
  <c r="AQ9" i="5" s="1"/>
  <c r="AE88" i="4"/>
  <c r="AE140" i="4"/>
  <c r="AE33" i="4"/>
  <c r="AE37" i="4"/>
  <c r="AE65" i="4"/>
  <c r="AE82" i="4"/>
  <c r="AE24" i="4"/>
  <c r="AE77" i="4"/>
  <c r="AE89" i="4"/>
  <c r="AE16" i="4"/>
  <c r="AE85" i="4"/>
  <c r="AE67" i="4"/>
  <c r="AE90" i="4"/>
  <c r="AE106" i="4"/>
  <c r="AE155" i="4"/>
  <c r="AE35" i="4"/>
  <c r="AE116" i="4"/>
  <c r="AE60" i="4"/>
  <c r="AE104" i="4"/>
  <c r="AE148" i="4"/>
  <c r="AE32" i="4"/>
  <c r="AE51" i="4"/>
  <c r="AE31" i="4"/>
  <c r="AE78" i="4"/>
  <c r="AE96" i="4"/>
  <c r="AE128" i="4"/>
  <c r="AE118" i="4"/>
  <c r="AE27" i="4"/>
  <c r="AE40" i="4"/>
  <c r="AE62" i="4"/>
  <c r="AE84" i="4"/>
  <c r="AE17" i="4"/>
  <c r="AE149" i="4"/>
  <c r="AE23" i="4"/>
  <c r="AE28" i="4"/>
  <c r="AE122" i="4"/>
  <c r="AE117" i="4"/>
  <c r="AE110" i="4"/>
  <c r="AE136" i="4"/>
  <c r="AE124" i="4"/>
  <c r="AE55" i="4"/>
  <c r="AE42" i="4"/>
  <c r="AE141" i="4"/>
  <c r="AS10" i="5"/>
  <c r="AU10" i="5" s="1"/>
  <c r="AE38" i="4"/>
  <c r="AE115" i="4"/>
  <c r="AE54" i="4"/>
  <c r="AE137" i="4"/>
  <c r="Z153" i="4"/>
  <c r="AN153" i="4" s="1"/>
  <c r="Z105" i="4"/>
  <c r="AN105" i="4" s="1"/>
  <c r="Z40" i="4"/>
  <c r="AN40" i="4" s="1"/>
  <c r="Z136" i="4"/>
  <c r="AN136" i="4" s="1"/>
  <c r="Z101" i="4"/>
  <c r="AN101" i="4" s="1"/>
  <c r="Z142" i="4"/>
  <c r="AN142" i="4" s="1"/>
  <c r="AE113" i="4"/>
  <c r="Z116" i="4"/>
  <c r="AN116" i="4" s="1"/>
  <c r="Z11" i="4"/>
  <c r="AN11" i="4" s="1"/>
  <c r="Z149" i="4"/>
  <c r="AN149" i="4" s="1"/>
  <c r="Z141" i="4"/>
  <c r="AN141" i="4" s="1"/>
  <c r="Z15" i="4"/>
  <c r="AF15" i="4" s="1"/>
  <c r="AG15" i="4" s="1"/>
  <c r="AI15" i="4" s="1"/>
  <c r="Z122" i="4"/>
  <c r="AN122" i="4" s="1"/>
  <c r="Z19" i="4"/>
  <c r="AN19" i="4" s="1"/>
  <c r="Z9" i="4"/>
  <c r="AN9" i="4" s="1"/>
  <c r="Z65" i="4"/>
  <c r="AN65" i="4" s="1"/>
  <c r="Z124" i="4"/>
  <c r="AN124" i="4" s="1"/>
  <c r="Z140" i="4"/>
  <c r="AN140" i="4" s="1"/>
  <c r="Z17" i="4"/>
  <c r="AN17" i="4" s="1"/>
  <c r="Z89" i="4"/>
  <c r="AN89" i="4" s="1"/>
  <c r="Z78" i="4"/>
  <c r="AN78" i="4" s="1"/>
  <c r="Z106" i="4"/>
  <c r="X106" i="4" s="1"/>
  <c r="AJ106" i="4" s="1"/>
  <c r="Z13" i="4"/>
  <c r="AN13" i="4" s="1"/>
  <c r="Z128" i="4"/>
  <c r="AN128" i="4" s="1"/>
  <c r="Z117" i="4"/>
  <c r="AN117" i="4" s="1"/>
  <c r="Z96" i="4"/>
  <c r="X96" i="4" s="1"/>
  <c r="Z58" i="4"/>
  <c r="AN58" i="4" s="1"/>
  <c r="AE15" i="4"/>
  <c r="Z82" i="4"/>
  <c r="AN82" i="4" s="1"/>
  <c r="Z37" i="4"/>
  <c r="AN37" i="4" s="1"/>
  <c r="Z35" i="4"/>
  <c r="AN35" i="4" s="1"/>
  <c r="Z51" i="4"/>
  <c r="AN51" i="4" s="1"/>
  <c r="Z33" i="4"/>
  <c r="AN33" i="4" s="1"/>
  <c r="Z109" i="4"/>
  <c r="AN109" i="4" s="1"/>
  <c r="Z44" i="4"/>
  <c r="AN44" i="4" s="1"/>
  <c r="Z68" i="4"/>
  <c r="AN68" i="4" s="1"/>
  <c r="Z41" i="4"/>
  <c r="AN41" i="4" s="1"/>
  <c r="Z108" i="4"/>
  <c r="AN108" i="4" s="1"/>
  <c r="Z148" i="4"/>
  <c r="AN148" i="4" s="1"/>
  <c r="AE153" i="4"/>
  <c r="Z27" i="4"/>
  <c r="AF27" i="4" s="1"/>
  <c r="AG27" i="4" s="1"/>
  <c r="AI27" i="4" s="1"/>
  <c r="Z23" i="4"/>
  <c r="AF23" i="4" s="1"/>
  <c r="AG23" i="4" s="1"/>
  <c r="AI23" i="4" s="1"/>
  <c r="Z31" i="4"/>
  <c r="AN31" i="4" s="1"/>
  <c r="Z49" i="4"/>
  <c r="AN49" i="4" s="1"/>
  <c r="B40" i="5"/>
  <c r="Q325" i="5"/>
  <c r="Q321" i="5"/>
  <c r="Q86" i="5"/>
  <c r="Q230" i="5"/>
  <c r="Q248" i="5"/>
  <c r="Q414" i="5"/>
  <c r="Q81" i="5"/>
  <c r="Q314" i="5"/>
  <c r="Q132" i="5"/>
  <c r="Q198" i="5"/>
  <c r="Q477" i="5"/>
  <c r="Q188" i="5"/>
  <c r="Q173" i="5"/>
  <c r="Q342" i="5"/>
  <c r="Q65" i="5"/>
  <c r="Q363" i="5"/>
  <c r="Q392" i="5"/>
  <c r="Q443" i="5"/>
  <c r="Q245" i="5"/>
  <c r="Q84" i="5"/>
  <c r="Q98" i="5"/>
  <c r="Q444" i="5"/>
  <c r="Q439" i="5"/>
  <c r="Q227" i="5"/>
  <c r="Q526" i="5"/>
  <c r="Q537" i="5"/>
  <c r="Q144" i="5"/>
  <c r="Q253" i="5"/>
  <c r="Q515" i="5"/>
  <c r="Q31" i="5"/>
  <c r="Q87" i="5"/>
  <c r="Q540" i="5"/>
  <c r="Q531" i="5"/>
  <c r="Q67" i="5"/>
  <c r="Q467" i="5"/>
  <c r="Q546" i="5"/>
  <c r="Q196" i="5"/>
  <c r="Q296" i="5"/>
  <c r="Q200" i="5"/>
  <c r="Q344" i="5"/>
  <c r="Q510" i="5"/>
  <c r="Q36" i="5"/>
  <c r="Q165" i="5"/>
  <c r="Q228" i="5"/>
  <c r="Q504" i="5"/>
  <c r="Q465" i="5"/>
  <c r="Q93" i="5"/>
  <c r="Q129" i="5"/>
  <c r="Q426" i="5"/>
  <c r="Q297" i="5"/>
  <c r="Q139" i="5"/>
  <c r="Q522" i="5"/>
  <c r="Q496" i="5"/>
  <c r="Q492" i="5"/>
  <c r="Q534" i="5"/>
  <c r="Q214" i="5"/>
  <c r="Q417" i="5"/>
  <c r="Q178" i="5"/>
  <c r="Q291" i="5"/>
  <c r="Q174" i="5"/>
  <c r="Q449" i="5"/>
  <c r="Q138" i="5"/>
  <c r="Q91" i="5"/>
  <c r="Q19" i="5"/>
  <c r="Q210" i="5"/>
  <c r="Q286" i="5"/>
  <c r="Q378" i="5"/>
  <c r="Q307" i="5"/>
  <c r="Q423" i="5"/>
  <c r="Q386" i="5"/>
  <c r="Q303" i="5"/>
  <c r="Q194" i="5"/>
  <c r="Q514" i="5"/>
  <c r="Q312" i="5"/>
  <c r="Q319" i="5"/>
  <c r="Q156" i="5"/>
  <c r="Q104" i="5"/>
  <c r="Q75" i="5"/>
  <c r="Q183" i="5"/>
  <c r="Q298" i="5"/>
  <c r="Q304" i="5"/>
  <c r="Q360" i="5"/>
  <c r="Q182" i="5"/>
  <c r="Q544" i="5"/>
  <c r="Q83" i="5"/>
  <c r="Q306" i="5"/>
  <c r="Q427" i="5"/>
  <c r="Q372" i="5"/>
  <c r="Q205" i="5"/>
  <c r="Q333" i="5"/>
  <c r="Q311" i="5"/>
  <c r="Q55" i="5"/>
  <c r="Q106" i="5"/>
  <c r="Q300" i="5"/>
  <c r="Q415" i="5"/>
  <c r="Q452" i="5"/>
  <c r="Q96" i="5"/>
  <c r="Q451" i="5"/>
  <c r="Q490" i="5"/>
  <c r="Q487" i="5"/>
  <c r="Q56" i="5"/>
  <c r="Q284" i="5"/>
  <c r="Q154" i="5"/>
  <c r="Q545" i="5"/>
  <c r="Q223" i="5"/>
  <c r="Q63" i="5"/>
  <c r="Q420" i="5"/>
  <c r="Q299" i="5"/>
  <c r="Q374" i="5"/>
  <c r="Q43" i="5"/>
  <c r="Q268" i="5"/>
  <c r="Q499" i="5"/>
  <c r="Q283" i="5"/>
  <c r="Q66" i="5"/>
  <c r="Q424" i="5"/>
  <c r="Q117" i="5"/>
  <c r="Q85" i="5"/>
  <c r="Q226" i="5"/>
  <c r="Q366" i="5"/>
  <c r="Q163" i="5"/>
  <c r="Q12" i="5"/>
  <c r="Q455" i="5"/>
  <c r="Q42" i="5"/>
  <c r="Q259" i="5"/>
  <c r="Q362" i="5"/>
  <c r="Q350" i="5"/>
  <c r="Q553" i="5"/>
  <c r="Q364" i="5"/>
  <c r="Q263" i="5"/>
  <c r="Q199" i="5"/>
  <c r="Q213" i="5"/>
  <c r="Q471" i="5"/>
  <c r="Q233" i="5"/>
  <c r="Q68" i="5"/>
  <c r="Q278" i="5"/>
  <c r="Q39" i="5"/>
  <c r="Q119" i="5"/>
  <c r="Q369" i="5"/>
  <c r="Q167" i="5"/>
  <c r="Q155" i="5"/>
  <c r="Q516" i="5"/>
  <c r="Q302" i="5"/>
  <c r="Q288" i="5"/>
  <c r="Q440" i="5"/>
  <c r="Q435" i="5"/>
  <c r="Q246" i="5"/>
  <c r="Q145" i="5"/>
  <c r="Q256" i="5"/>
  <c r="Q502" i="5"/>
  <c r="Q122" i="5"/>
  <c r="Q527" i="5"/>
  <c r="Q403" i="5"/>
  <c r="Q557" i="5"/>
  <c r="Q34" i="5"/>
  <c r="Q51" i="5"/>
  <c r="Q219" i="5"/>
  <c r="Q456" i="5"/>
  <c r="Q150" i="5"/>
  <c r="Q482" i="5"/>
  <c r="Q501" i="5"/>
  <c r="Q405" i="5"/>
  <c r="Q550" i="5"/>
  <c r="Q35" i="5"/>
  <c r="Q375" i="5"/>
  <c r="Q180" i="5"/>
  <c r="Q128" i="5"/>
  <c r="Q221" i="5"/>
  <c r="Q277" i="5"/>
  <c r="Q78" i="5"/>
  <c r="Q361" i="5"/>
  <c r="Q385" i="5"/>
  <c r="Q425" i="5"/>
  <c r="Q82" i="5"/>
  <c r="Q244" i="5"/>
  <c r="Q279" i="5"/>
  <c r="Q54" i="5"/>
  <c r="Q285" i="5"/>
  <c r="Q473" i="5"/>
  <c r="Q479" i="5"/>
  <c r="Q90" i="5"/>
  <c r="Q368" i="5"/>
  <c r="Q142" i="5"/>
  <c r="Q530" i="5"/>
  <c r="Q541" i="5"/>
  <c r="Q266" i="5"/>
  <c r="Q184" i="5"/>
  <c r="Q393" i="5"/>
  <c r="Q433" i="5"/>
  <c r="Q400" i="5"/>
  <c r="Q293" i="5"/>
  <c r="Q190" i="5"/>
  <c r="Q135" i="5"/>
  <c r="Q357" i="5"/>
  <c r="Q281" i="5"/>
  <c r="Q429" i="5"/>
  <c r="Q265" i="5"/>
  <c r="Q322" i="5"/>
  <c r="Q346" i="5"/>
  <c r="Q404" i="5"/>
  <c r="Q125" i="5"/>
  <c r="Q29" i="5"/>
  <c r="Q315" i="5"/>
  <c r="Q488" i="5"/>
  <c r="Q290" i="5"/>
  <c r="Q112" i="5"/>
  <c r="Q337" i="5"/>
  <c r="Q464" i="5"/>
  <c r="Q320" i="5"/>
  <c r="Q396" i="5"/>
  <c r="Q551" i="5"/>
  <c r="Q345" i="5"/>
  <c r="Q203" i="5"/>
  <c r="Q185" i="5"/>
  <c r="Q116" i="5"/>
  <c r="Q399" i="5"/>
  <c r="Q453" i="5"/>
  <c r="Q419" i="5"/>
  <c r="Q186" i="5"/>
  <c r="Q238" i="5"/>
  <c r="Q40" i="5"/>
  <c r="Q161" i="5"/>
  <c r="Q519" i="5"/>
  <c r="Q218" i="5"/>
  <c r="Q232" i="5"/>
  <c r="Q74" i="5"/>
  <c r="Q229" i="5"/>
  <c r="Q518" i="5"/>
  <c r="Q44" i="5"/>
  <c r="Q484" i="5"/>
  <c r="Q371" i="5"/>
  <c r="Q395" i="5"/>
  <c r="Q32" i="5"/>
  <c r="Q381" i="5"/>
  <c r="Q412" i="5"/>
  <c r="Q115" i="5"/>
  <c r="Q241" i="5"/>
  <c r="Q343" i="5"/>
  <c r="Q428" i="5"/>
  <c r="Q222" i="5"/>
  <c r="Q261" i="5"/>
  <c r="Q397" i="5"/>
  <c r="Q442" i="5"/>
  <c r="Q347" i="5"/>
  <c r="Q323" i="5"/>
  <c r="Q349" i="5"/>
  <c r="Q367" i="5"/>
  <c r="Q476" i="5"/>
  <c r="Q47" i="5"/>
  <c r="Q57" i="5"/>
  <c r="Q411" i="5"/>
  <c r="Q50" i="5"/>
  <c r="Q326" i="5"/>
  <c r="Q525" i="5"/>
  <c r="Q489" i="5"/>
  <c r="Q548" i="5"/>
  <c r="Q348" i="5"/>
  <c r="Q120" i="5"/>
  <c r="Q513" i="5"/>
  <c r="Q335" i="5"/>
  <c r="Q70" i="5"/>
  <c r="Q192" i="5"/>
  <c r="Q158" i="5"/>
  <c r="Q264" i="5"/>
  <c r="Q401" i="5"/>
  <c r="Q383" i="5"/>
  <c r="Q413" i="5"/>
  <c r="Q354" i="5"/>
  <c r="Q462" i="5"/>
  <c r="Q46" i="5"/>
  <c r="Q421" i="5"/>
  <c r="Q62" i="5"/>
  <c r="Q258" i="5"/>
  <c r="Q536" i="5"/>
  <c r="Q494" i="5"/>
  <c r="Q267" i="5"/>
  <c r="Q270" i="5"/>
  <c r="Q422" i="5"/>
  <c r="Q556" i="5"/>
  <c r="Q376" i="5"/>
  <c r="Q272" i="5"/>
  <c r="Q370" i="5"/>
  <c r="Q176" i="5"/>
  <c r="Q549" i="5"/>
  <c r="Q432" i="5"/>
  <c r="Q448" i="5"/>
  <c r="Q324" i="5"/>
  <c r="Q49" i="5"/>
  <c r="Q239" i="5"/>
  <c r="Q377" i="5"/>
  <c r="Q497" i="5"/>
  <c r="Q201" i="5"/>
  <c r="Q147" i="5"/>
  <c r="Q149" i="5"/>
  <c r="Q262" i="5"/>
  <c r="Q33" i="5"/>
  <c r="Q13" i="5"/>
  <c r="Q124" i="5"/>
  <c r="Q500" i="5"/>
  <c r="Q359" i="5"/>
  <c r="Q503" i="5"/>
  <c r="Q231" i="5"/>
  <c r="Q274" i="5"/>
  <c r="Q133" i="5"/>
  <c r="Q280" i="5"/>
  <c r="Q365" i="5"/>
  <c r="Q136" i="5"/>
  <c r="Q217" i="5"/>
  <c r="Q20" i="5"/>
  <c r="Q109" i="5"/>
  <c r="Q472" i="5"/>
  <c r="Q52" i="5"/>
  <c r="Q543" i="5"/>
  <c r="Q252" i="5"/>
  <c r="Q88" i="5"/>
  <c r="Q108" i="5"/>
  <c r="Q105" i="5"/>
  <c r="Q168" i="5"/>
  <c r="Q162" i="5"/>
  <c r="Q209" i="5"/>
  <c r="Q273" i="5"/>
  <c r="Q206" i="5"/>
  <c r="Q48" i="5"/>
  <c r="Q131" i="5"/>
  <c r="Q507" i="5"/>
  <c r="Q103" i="5"/>
  <c r="Q339" i="5"/>
  <c r="Q140" i="5"/>
  <c r="Q114" i="5"/>
  <c r="Q294" i="5"/>
  <c r="Q212" i="5"/>
  <c r="Q317" i="5"/>
  <c r="Q41" i="5"/>
  <c r="Q469" i="5"/>
  <c r="Q529" i="5"/>
  <c r="Q169" i="5"/>
  <c r="Q99" i="5"/>
  <c r="Q28" i="5"/>
  <c r="Q524" i="5"/>
  <c r="Q235" i="5"/>
  <c r="Q295" i="5"/>
  <c r="Q305" i="5"/>
  <c r="Q387" i="5"/>
  <c r="Q454" i="5"/>
  <c r="Q24" i="5"/>
  <c r="Q25" i="5"/>
  <c r="Q26" i="5"/>
  <c r="Q250" i="5"/>
  <c r="Q177" i="5"/>
  <c r="Q410" i="5"/>
  <c r="Q191" i="5"/>
  <c r="Q539" i="5"/>
  <c r="Q391" i="5"/>
  <c r="Q505" i="5"/>
  <c r="Q151" i="5"/>
  <c r="Q208" i="5"/>
  <c r="Q79" i="5"/>
  <c r="Q554" i="5"/>
  <c r="Q157" i="5"/>
  <c r="Q102" i="5"/>
  <c r="Q560" i="5"/>
  <c r="Q276" i="5"/>
  <c r="Q193" i="5"/>
  <c r="Q520" i="5"/>
  <c r="Q181" i="5"/>
  <c r="Q373" i="5"/>
  <c r="Q532" i="5"/>
  <c r="Q64" i="5"/>
  <c r="Q146" i="5"/>
  <c r="Q224" i="5"/>
  <c r="Q384" i="5"/>
  <c r="Q445" i="5"/>
  <c r="Q301" i="5"/>
  <c r="Q22" i="5"/>
  <c r="Q254" i="5"/>
  <c r="Q80" i="5"/>
  <c r="Q195" i="5"/>
  <c r="Q94" i="5"/>
  <c r="Q495" i="5"/>
  <c r="Q166" i="5"/>
  <c r="Q95" i="5"/>
  <c r="Q331" i="5"/>
  <c r="Q552" i="5"/>
  <c r="Q338" i="5"/>
  <c r="Q528" i="5"/>
  <c r="Q380" i="5"/>
  <c r="Q394" i="5"/>
  <c r="Q351" i="5"/>
  <c r="Q59" i="5"/>
  <c r="Q535" i="5"/>
  <c r="Q30" i="5"/>
  <c r="Q398" i="5"/>
  <c r="Q127" i="5"/>
  <c r="Q111" i="5"/>
  <c r="Q508" i="5"/>
  <c r="Q76" i="5"/>
  <c r="Q164" i="5"/>
  <c r="Q447" i="5"/>
  <c r="Q388" i="5"/>
  <c r="Q60" i="5"/>
  <c r="Q459" i="5"/>
  <c r="Q523" i="5"/>
  <c r="Q436" i="5"/>
  <c r="Q101" i="5"/>
  <c r="Q275" i="5"/>
  <c r="Q498" i="5"/>
  <c r="Q559" i="5"/>
  <c r="Q355" i="5"/>
  <c r="Q460" i="5"/>
  <c r="Q416" i="5"/>
  <c r="Q441" i="5"/>
  <c r="Q249" i="5"/>
  <c r="Q407" i="5"/>
  <c r="Q511" i="5"/>
  <c r="Q352" i="5"/>
  <c r="Q356" i="5"/>
  <c r="Q309" i="5"/>
  <c r="Q287" i="5"/>
  <c r="Q409" i="5"/>
  <c r="Q316" i="5"/>
  <c r="Q77" i="5"/>
  <c r="Q328" i="5"/>
  <c r="Q237" i="5"/>
  <c r="Q204" i="5"/>
  <c r="Q255" i="5"/>
  <c r="Q211" i="5"/>
  <c r="Q521" i="5"/>
  <c r="Q332" i="5"/>
  <c r="Q318" i="5"/>
  <c r="Q329" i="5"/>
  <c r="Q269" i="5"/>
  <c r="Q53" i="5"/>
  <c r="Q358" i="5"/>
  <c r="Q547" i="5"/>
  <c r="Q558" i="5"/>
  <c r="Q450" i="5"/>
  <c r="Q437" i="5"/>
  <c r="Q71" i="5"/>
  <c r="Q121" i="5"/>
  <c r="Q555" i="5"/>
  <c r="Q172" i="5"/>
  <c r="Q197" i="5"/>
  <c r="Q97" i="5"/>
  <c r="Q179" i="5"/>
  <c r="Q533" i="5"/>
  <c r="Q491" i="5"/>
  <c r="Q382" i="5"/>
  <c r="Q481" i="5"/>
  <c r="Q225" i="5"/>
  <c r="Q340" i="5"/>
  <c r="Q457" i="5"/>
  <c r="Q542" i="5"/>
  <c r="Q148" i="5"/>
  <c r="Q216" i="5"/>
  <c r="Q159" i="5"/>
  <c r="Q478" i="5"/>
  <c r="Q509" i="5"/>
  <c r="Q257" i="5"/>
  <c r="Q327" i="5"/>
  <c r="Q483" i="5"/>
  <c r="Q100" i="5"/>
  <c r="Q390" i="5"/>
  <c r="Q271" i="5"/>
  <c r="Q61" i="5"/>
  <c r="Q175" i="5"/>
  <c r="Q113" i="5"/>
  <c r="Q458" i="5"/>
  <c r="Q334" i="5"/>
  <c r="Q493" i="5"/>
  <c r="Q408" i="5"/>
  <c r="Q134" i="5"/>
  <c r="Q202" i="5"/>
  <c r="Q470" i="5"/>
  <c r="Q207" i="5"/>
  <c r="Q260" i="5"/>
  <c r="Q438" i="5"/>
  <c r="Q289" i="5"/>
  <c r="Q21" i="5"/>
  <c r="Q475" i="5"/>
  <c r="Q282" i="5"/>
  <c r="Q189" i="5"/>
  <c r="Q220" i="5"/>
  <c r="Q89" i="5"/>
  <c r="Q506" i="5"/>
  <c r="Q152" i="5"/>
  <c r="Q379" i="5"/>
  <c r="Q402" i="5"/>
  <c r="Q130" i="5"/>
  <c r="Q118" i="5"/>
  <c r="Q110" i="5"/>
  <c r="Q538" i="5"/>
  <c r="Q310" i="5"/>
  <c r="Q215" i="5"/>
  <c r="Q107" i="5"/>
  <c r="Q126" i="5"/>
  <c r="Q123" i="5"/>
  <c r="Q153" i="5"/>
  <c r="Q292" i="5"/>
  <c r="Q170" i="5"/>
  <c r="Q8" i="5"/>
  <c r="Q466" i="5"/>
  <c r="Q485" i="5"/>
  <c r="Q406" i="5"/>
  <c r="Q336" i="5"/>
  <c r="Q143" i="5"/>
  <c r="Q45" i="5"/>
  <c r="Q27" i="5"/>
  <c r="Q418" i="5"/>
  <c r="Q243" i="5"/>
  <c r="Q160" i="5"/>
  <c r="Q341" i="5"/>
  <c r="Q58" i="5"/>
  <c r="Q92" i="5"/>
  <c r="Q308" i="5"/>
  <c r="Q313" i="5"/>
  <c r="Q187" i="5"/>
  <c r="Q430" i="5"/>
  <c r="Q446" i="5"/>
  <c r="Q463" i="5"/>
  <c r="Q486" i="5"/>
  <c r="Q38" i="5"/>
  <c r="Q389" i="5"/>
  <c r="Q73" i="5"/>
  <c r="Q330" i="5"/>
  <c r="Q353" i="5"/>
  <c r="Q517" i="5"/>
  <c r="Q434" i="5"/>
  <c r="Q69" i="5"/>
  <c r="Q247" i="5"/>
  <c r="Q141" i="5"/>
  <c r="Q431" i="5"/>
  <c r="Q72" i="5"/>
  <c r="Q171" i="5"/>
  <c r="Q512" i="5"/>
  <c r="Q242" i="5"/>
  <c r="Q474" i="5"/>
  <c r="Q461" i="5"/>
  <c r="Q480" i="5"/>
  <c r="Q137" i="5"/>
  <c r="Q236" i="5"/>
  <c r="Q240" i="5"/>
  <c r="Q251" i="5"/>
  <c r="Q468" i="5"/>
  <c r="Q23" i="5"/>
  <c r="Q234" i="5"/>
  <c r="O11" i="5"/>
  <c r="AC11" i="5" s="1"/>
  <c r="Z26" i="4"/>
  <c r="AN26" i="4" s="1"/>
  <c r="AQ537" i="5"/>
  <c r="AR537" i="5"/>
  <c r="AQ200" i="5"/>
  <c r="AR200" i="5"/>
  <c r="AQ321" i="5"/>
  <c r="AR321" i="5"/>
  <c r="AR85" i="5"/>
  <c r="AQ85" i="5"/>
  <c r="AQ127" i="5"/>
  <c r="AR127" i="5"/>
  <c r="AQ54" i="5"/>
  <c r="AR54" i="5"/>
  <c r="AQ241" i="5"/>
  <c r="AR241" i="5"/>
  <c r="AQ483" i="5"/>
  <c r="AR483" i="5"/>
  <c r="AR273" i="5"/>
  <c r="AQ273" i="5"/>
  <c r="AR46" i="5"/>
  <c r="AQ46" i="5"/>
  <c r="AQ365" i="5"/>
  <c r="AR365" i="5"/>
  <c r="AR383" i="5"/>
  <c r="AQ383" i="5"/>
  <c r="AQ191" i="5"/>
  <c r="AR191" i="5"/>
  <c r="AR124" i="5"/>
  <c r="AQ124" i="5"/>
  <c r="AQ251" i="5"/>
  <c r="AR251" i="5"/>
  <c r="AR285" i="5"/>
  <c r="AQ285" i="5"/>
  <c r="AR58" i="5"/>
  <c r="AQ58" i="5"/>
  <c r="AQ555" i="5"/>
  <c r="AR555" i="5"/>
  <c r="AR45" i="5"/>
  <c r="AQ45" i="5"/>
  <c r="AR185" i="5"/>
  <c r="AQ185" i="5"/>
  <c r="AQ231" i="5"/>
  <c r="AR231" i="5"/>
  <c r="AQ278" i="5"/>
  <c r="AR278" i="5"/>
  <c r="AR541" i="5"/>
  <c r="AQ541" i="5"/>
  <c r="AQ93" i="5"/>
  <c r="AR93" i="5"/>
  <c r="AR253" i="5"/>
  <c r="AQ253" i="5"/>
  <c r="AR366" i="5"/>
  <c r="AQ366" i="5"/>
  <c r="AR337" i="5"/>
  <c r="AQ337" i="5"/>
  <c r="AR190" i="5"/>
  <c r="AQ190" i="5"/>
  <c r="AQ414" i="5"/>
  <c r="AR414" i="5"/>
  <c r="AQ227" i="5"/>
  <c r="AR227" i="5"/>
  <c r="AR38" i="5"/>
  <c r="AQ38" i="5"/>
  <c r="AR216" i="5"/>
  <c r="AQ216" i="5"/>
  <c r="AR477" i="5"/>
  <c r="AQ477" i="5"/>
  <c r="AQ63" i="5"/>
  <c r="AR63" i="5"/>
  <c r="AQ160" i="5"/>
  <c r="AR160" i="5"/>
  <c r="AR458" i="5"/>
  <c r="AQ458" i="5"/>
  <c r="AQ438" i="5"/>
  <c r="AR438" i="5"/>
  <c r="AQ433" i="5"/>
  <c r="AR433" i="5"/>
  <c r="AR302" i="5"/>
  <c r="AQ302" i="5"/>
  <c r="AR8" i="5"/>
  <c r="AQ8" i="5"/>
  <c r="AQ369" i="5"/>
  <c r="AR369" i="5"/>
  <c r="AQ295" i="5"/>
  <c r="AR295" i="5"/>
  <c r="AR493" i="5"/>
  <c r="AQ493" i="5"/>
  <c r="AQ298" i="5"/>
  <c r="AR298" i="5"/>
  <c r="AR148" i="5"/>
  <c r="AQ148" i="5"/>
  <c r="AQ91" i="5"/>
  <c r="AR91" i="5"/>
  <c r="AR183" i="5"/>
  <c r="AQ183" i="5"/>
  <c r="AQ75" i="5"/>
  <c r="AR75" i="5"/>
  <c r="AQ511" i="5"/>
  <c r="AR511" i="5"/>
  <c r="AR169" i="5"/>
  <c r="AQ169" i="5"/>
  <c r="AQ498" i="5"/>
  <c r="AR498" i="5"/>
  <c r="AQ514" i="5"/>
  <c r="AR514" i="5"/>
  <c r="AR275" i="5"/>
  <c r="AQ275" i="5"/>
  <c r="AQ145" i="5"/>
  <c r="AR145" i="5"/>
  <c r="AR304" i="5"/>
  <c r="AQ304" i="5"/>
  <c r="AQ77" i="5"/>
  <c r="AR77" i="5"/>
  <c r="AR208" i="5"/>
  <c r="AQ208" i="5"/>
  <c r="AR103" i="5"/>
  <c r="AQ103" i="5"/>
  <c r="AQ196" i="5"/>
  <c r="AR196" i="5"/>
  <c r="AQ370" i="5"/>
  <c r="AR370" i="5"/>
  <c r="AQ377" i="5"/>
  <c r="AR377" i="5"/>
  <c r="AR203" i="5"/>
  <c r="AQ203" i="5"/>
  <c r="AQ371" i="5"/>
  <c r="AR371" i="5"/>
  <c r="AQ199" i="5"/>
  <c r="AR199" i="5"/>
  <c r="AR48" i="5"/>
  <c r="AQ48" i="5"/>
  <c r="AQ415" i="5"/>
  <c r="AR415" i="5"/>
  <c r="AR167" i="5"/>
  <c r="AQ167" i="5"/>
  <c r="AR362" i="5"/>
  <c r="AQ362" i="5"/>
  <c r="Z67" i="4"/>
  <c r="AN67" i="4" s="1"/>
  <c r="AS500" i="5"/>
  <c r="AS56" i="5"/>
  <c r="AS123" i="5"/>
  <c r="AS511" i="5"/>
  <c r="AS246" i="5"/>
  <c r="AS432" i="5"/>
  <c r="AS266" i="5"/>
  <c r="AS405" i="5"/>
  <c r="AS525" i="5"/>
  <c r="AS93" i="5"/>
  <c r="AS121" i="5"/>
  <c r="AS174" i="5"/>
  <c r="AS25" i="5"/>
  <c r="AS404" i="5"/>
  <c r="AS387" i="5"/>
  <c r="AS394" i="5"/>
  <c r="AS245" i="5"/>
  <c r="AS496" i="5"/>
  <c r="AS552" i="5"/>
  <c r="AS472" i="5"/>
  <c r="AS558" i="5"/>
  <c r="AS26" i="5"/>
  <c r="AS376" i="5"/>
  <c r="AS191" i="5"/>
  <c r="AS217" i="5"/>
  <c r="AS308" i="5"/>
  <c r="AS183" i="5"/>
  <c r="AS315" i="5"/>
  <c r="AS261" i="5"/>
  <c r="AS350" i="5"/>
  <c r="AS354" i="5"/>
  <c r="AS393" i="5"/>
  <c r="AS352" i="5"/>
  <c r="AS471" i="5"/>
  <c r="AS464" i="5"/>
  <c r="AS294" i="5"/>
  <c r="AS255" i="5"/>
  <c r="AS374" i="5"/>
  <c r="AS96" i="5"/>
  <c r="AS186" i="5"/>
  <c r="AS491" i="5"/>
  <c r="AS438" i="5"/>
  <c r="AS157" i="5"/>
  <c r="AS264" i="5"/>
  <c r="AS94" i="5"/>
  <c r="AS66" i="5"/>
  <c r="AS189" i="5"/>
  <c r="AS286" i="5"/>
  <c r="AS312" i="5"/>
  <c r="AS547" i="5"/>
  <c r="AS288" i="5"/>
  <c r="AS528" i="5"/>
  <c r="AS441" i="5"/>
  <c r="AS473" i="5"/>
  <c r="AS262" i="5"/>
  <c r="AS160" i="5"/>
  <c r="AS453" i="5"/>
  <c r="AS375" i="5"/>
  <c r="AS281" i="5"/>
  <c r="AS142" i="5"/>
  <c r="AS177" i="5"/>
  <c r="AS402" i="5"/>
  <c r="AS38" i="5"/>
  <c r="AS369" i="5"/>
  <c r="AS234" i="5"/>
  <c r="AS470" i="5"/>
  <c r="AS372" i="5"/>
  <c r="AS447" i="5"/>
  <c r="Z110" i="4"/>
  <c r="X110" i="4" s="1"/>
  <c r="Z155" i="4"/>
  <c r="AN155" i="4" s="1"/>
  <c r="Z28" i="4"/>
  <c r="AN28" i="4" s="1"/>
  <c r="Z115" i="4"/>
  <c r="AN115" i="4" s="1"/>
  <c r="U10" i="5"/>
  <c r="V10" i="5"/>
  <c r="AE9" i="4"/>
  <c r="Z45" i="4"/>
  <c r="X45" i="4" s="1"/>
  <c r="AA45" i="4" s="1"/>
  <c r="AE58" i="4"/>
  <c r="Z42" i="4"/>
  <c r="X42" i="4" s="1"/>
  <c r="AA42" i="4" s="1"/>
  <c r="AL187" i="5"/>
  <c r="AK187" i="5"/>
  <c r="AL160" i="5"/>
  <c r="AK160" i="5"/>
  <c r="AK180" i="5"/>
  <c r="AL180" i="5"/>
  <c r="AL522" i="5"/>
  <c r="AK522" i="5"/>
  <c r="AK48" i="5"/>
  <c r="AL48" i="5"/>
  <c r="AL433" i="5"/>
  <c r="AK433" i="5"/>
  <c r="AL115" i="5"/>
  <c r="AK115" i="5"/>
  <c r="AL85" i="5"/>
  <c r="AK85" i="5"/>
  <c r="AL407" i="5"/>
  <c r="AK407" i="5"/>
  <c r="AL361" i="5"/>
  <c r="AK361" i="5"/>
  <c r="AL455" i="5"/>
  <c r="AK455" i="5"/>
  <c r="AL348" i="5"/>
  <c r="AK348" i="5"/>
  <c r="AL87" i="5"/>
  <c r="AK87" i="5"/>
  <c r="AK203" i="5"/>
  <c r="AL203" i="5"/>
  <c r="AL548" i="5"/>
  <c r="AK548" i="5"/>
  <c r="AL294" i="5"/>
  <c r="AK294" i="5"/>
  <c r="AL218" i="5"/>
  <c r="AK218" i="5"/>
  <c r="AL262" i="5"/>
  <c r="AK262" i="5"/>
  <c r="AL185" i="5"/>
  <c r="AK185" i="5"/>
  <c r="AK338" i="5"/>
  <c r="AL338" i="5"/>
  <c r="AK289" i="5"/>
  <c r="AL289" i="5"/>
  <c r="AL82" i="5"/>
  <c r="AK82" i="5"/>
  <c r="AK473" i="5"/>
  <c r="AL473" i="5"/>
  <c r="AL287" i="5"/>
  <c r="AK287" i="5"/>
  <c r="AK129" i="5"/>
  <c r="AL129" i="5"/>
  <c r="AL546" i="5"/>
  <c r="AK546" i="5"/>
  <c r="AL20" i="5"/>
  <c r="AK20" i="5"/>
  <c r="AL377" i="5"/>
  <c r="AK377" i="5"/>
  <c r="AL173" i="5"/>
  <c r="AK173" i="5"/>
  <c r="AL75" i="5"/>
  <c r="AK75" i="5"/>
  <c r="AL229" i="5"/>
  <c r="AK229" i="5"/>
  <c r="AL305" i="5"/>
  <c r="AK305" i="5"/>
  <c r="AL398" i="5"/>
  <c r="AK398" i="5"/>
  <c r="AL457" i="5"/>
  <c r="AK457" i="5"/>
  <c r="AK194" i="5"/>
  <c r="AL194" i="5"/>
  <c r="AK88" i="5"/>
  <c r="AL88" i="5"/>
  <c r="AL336" i="5"/>
  <c r="AK336" i="5"/>
  <c r="AL528" i="5"/>
  <c r="AK528" i="5"/>
  <c r="AK284" i="5"/>
  <c r="AL284" i="5"/>
  <c r="AK504" i="5"/>
  <c r="AL504" i="5"/>
  <c r="AL413" i="5"/>
  <c r="AK413" i="5"/>
  <c r="AK470" i="5"/>
  <c r="AL470" i="5"/>
  <c r="AK507" i="5"/>
  <c r="AL507" i="5"/>
  <c r="AL315" i="5"/>
  <c r="AK315" i="5"/>
  <c r="AL288" i="5"/>
  <c r="AK288" i="5"/>
  <c r="AK461" i="5"/>
  <c r="AL461" i="5"/>
  <c r="AL269" i="5"/>
  <c r="AK269" i="5"/>
  <c r="AK312" i="5"/>
  <c r="AL312" i="5"/>
  <c r="AK206" i="5"/>
  <c r="AL206" i="5"/>
  <c r="AL57" i="5"/>
  <c r="AK57" i="5"/>
  <c r="AL553" i="5"/>
  <c r="AK553" i="5"/>
  <c r="AL257" i="5"/>
  <c r="AK257" i="5"/>
  <c r="AK280" i="5"/>
  <c r="AL280" i="5"/>
  <c r="AL420" i="5"/>
  <c r="AK420" i="5"/>
  <c r="AK392" i="5"/>
  <c r="AL392" i="5"/>
  <c r="AK152" i="5"/>
  <c r="AL152" i="5"/>
  <c r="AL298" i="5"/>
  <c r="AK298" i="5"/>
  <c r="AK379" i="5"/>
  <c r="AL379" i="5"/>
  <c r="AK277" i="5"/>
  <c r="AL277" i="5"/>
  <c r="AL125" i="5"/>
  <c r="AK125" i="5"/>
  <c r="AL557" i="5"/>
  <c r="AK557" i="5"/>
  <c r="AK234" i="5"/>
  <c r="AL234" i="5"/>
  <c r="AL552" i="5"/>
  <c r="AK552" i="5"/>
  <c r="AK513" i="5"/>
  <c r="AL513" i="5"/>
  <c r="AL535" i="5"/>
  <c r="AK535" i="5"/>
  <c r="AK148" i="5"/>
  <c r="AL148" i="5"/>
  <c r="AK502" i="5"/>
  <c r="AL502" i="5"/>
  <c r="AE109" i="4"/>
  <c r="Z21" i="4"/>
  <c r="Z63" i="4"/>
  <c r="X63" i="4" s="1"/>
  <c r="AA63" i="4" s="1"/>
  <c r="AQ526" i="5"/>
  <c r="AR526" i="5"/>
  <c r="AQ119" i="5"/>
  <c r="AR119" i="5"/>
  <c r="AR55" i="5"/>
  <c r="AQ55" i="5"/>
  <c r="AR425" i="5"/>
  <c r="AQ425" i="5"/>
  <c r="AR328" i="5"/>
  <c r="AQ328" i="5"/>
  <c r="AR143" i="5"/>
  <c r="AQ143" i="5"/>
  <c r="AR176" i="5"/>
  <c r="AQ176" i="5"/>
  <c r="AQ500" i="5"/>
  <c r="AR500" i="5"/>
  <c r="AQ134" i="5"/>
  <c r="AR134" i="5"/>
  <c r="AR542" i="5"/>
  <c r="AQ542" i="5"/>
  <c r="AR505" i="5"/>
  <c r="AQ505" i="5"/>
  <c r="AQ226" i="5"/>
  <c r="AR226" i="5"/>
  <c r="AQ65" i="5"/>
  <c r="AR65" i="5"/>
  <c r="AQ528" i="5"/>
  <c r="AR528" i="5"/>
  <c r="AQ305" i="5"/>
  <c r="AR305" i="5"/>
  <c r="AR288" i="5"/>
  <c r="AQ288" i="5"/>
  <c r="AQ106" i="5"/>
  <c r="AR106" i="5"/>
  <c r="AR331" i="5"/>
  <c r="AQ331" i="5"/>
  <c r="AQ389" i="5"/>
  <c r="AR389" i="5"/>
  <c r="AR94" i="5"/>
  <c r="AQ94" i="5"/>
  <c r="AR174" i="5"/>
  <c r="AQ174" i="5"/>
  <c r="AR508" i="5"/>
  <c r="AQ508" i="5"/>
  <c r="AR342" i="5"/>
  <c r="AQ342" i="5"/>
  <c r="AR111" i="5"/>
  <c r="AQ111" i="5"/>
  <c r="AQ250" i="5"/>
  <c r="AR250" i="5"/>
  <c r="AR34" i="5"/>
  <c r="AQ34" i="5"/>
  <c r="AR472" i="5"/>
  <c r="AQ472" i="5"/>
  <c r="AQ29" i="5"/>
  <c r="AR29" i="5"/>
  <c r="AQ195" i="5"/>
  <c r="AR195" i="5"/>
  <c r="AR359" i="5"/>
  <c r="AQ359" i="5"/>
  <c r="AR59" i="5"/>
  <c r="AQ59" i="5"/>
  <c r="AR291" i="5"/>
  <c r="AQ291" i="5"/>
  <c r="AQ171" i="5"/>
  <c r="AR171" i="5"/>
  <c r="AQ32" i="5"/>
  <c r="AR32" i="5"/>
  <c r="AQ348" i="5"/>
  <c r="AR348" i="5"/>
  <c r="AQ69" i="5"/>
  <c r="AR69" i="5"/>
  <c r="AQ515" i="5"/>
  <c r="AR515" i="5"/>
  <c r="AQ90" i="5"/>
  <c r="AR90" i="5"/>
  <c r="AR361" i="5"/>
  <c r="AQ361" i="5"/>
  <c r="AQ489" i="5"/>
  <c r="AR489" i="5"/>
  <c r="AR107" i="5"/>
  <c r="AQ107" i="5"/>
  <c r="AR266" i="5"/>
  <c r="AQ266" i="5"/>
  <c r="AQ152" i="5"/>
  <c r="AR152" i="5"/>
  <c r="AR398" i="5"/>
  <c r="AQ398" i="5"/>
  <c r="AQ286" i="5"/>
  <c r="AR286" i="5"/>
  <c r="AQ271" i="5"/>
  <c r="AR271" i="5"/>
  <c r="AQ422" i="5"/>
  <c r="AR422" i="5"/>
  <c r="AQ70" i="5"/>
  <c r="AR70" i="5"/>
  <c r="AQ181" i="5"/>
  <c r="AR181" i="5"/>
  <c r="AR538" i="5"/>
  <c r="AQ538" i="5"/>
  <c r="AQ512" i="5"/>
  <c r="AR512" i="5"/>
  <c r="AQ552" i="5"/>
  <c r="AR552" i="5"/>
  <c r="AQ475" i="5"/>
  <c r="AR475" i="5"/>
  <c r="AQ265" i="5"/>
  <c r="AR265" i="5"/>
  <c r="AR247" i="5"/>
  <c r="AQ247" i="5"/>
  <c r="AR394" i="5"/>
  <c r="AQ394" i="5"/>
  <c r="AR41" i="5"/>
  <c r="AQ41" i="5"/>
  <c r="AR112" i="5"/>
  <c r="AQ112" i="5"/>
  <c r="AR482" i="5"/>
  <c r="AQ482" i="5"/>
  <c r="AQ42" i="5"/>
  <c r="AR42" i="5"/>
  <c r="AQ403" i="5"/>
  <c r="AR403" i="5"/>
  <c r="AQ243" i="5"/>
  <c r="AR243" i="5"/>
  <c r="AQ442" i="5"/>
  <c r="AR442" i="5"/>
  <c r="AQ50" i="5"/>
  <c r="AR50" i="5"/>
  <c r="AR507" i="5"/>
  <c r="AQ507" i="5"/>
  <c r="AR294" i="5"/>
  <c r="AQ294" i="5"/>
  <c r="AR26" i="5"/>
  <c r="AQ26" i="5"/>
  <c r="AQ461" i="5"/>
  <c r="AR461" i="5"/>
  <c r="AS101" i="5"/>
  <c r="AS89" i="5"/>
  <c r="AS389" i="5"/>
  <c r="AS328" i="5"/>
  <c r="AS193" i="5"/>
  <c r="AS415" i="5"/>
  <c r="AS451" i="5"/>
  <c r="AS251" i="5"/>
  <c r="AS310" i="5"/>
  <c r="AS247" i="5"/>
  <c r="AS167" i="5"/>
  <c r="AS533" i="5"/>
  <c r="AS492" i="5"/>
  <c r="AS468" i="5"/>
  <c r="AS137" i="5"/>
  <c r="AS55" i="5"/>
  <c r="AS559" i="5"/>
  <c r="AS370" i="5"/>
  <c r="AS333" i="5"/>
  <c r="AS113" i="5"/>
  <c r="AS519" i="5"/>
  <c r="AS424" i="5"/>
  <c r="AS345" i="5"/>
  <c r="AS321" i="5"/>
  <c r="AS182" i="5"/>
  <c r="AS557" i="5"/>
  <c r="AS293" i="5"/>
  <c r="AS274" i="5"/>
  <c r="AS187" i="5"/>
  <c r="AS421" i="5"/>
  <c r="AS481" i="5"/>
  <c r="AS159" i="5"/>
  <c r="AS110" i="5"/>
  <c r="AS50" i="5"/>
  <c r="AS400" i="5"/>
  <c r="AS460" i="5"/>
  <c r="AS283" i="5"/>
  <c r="AS554" i="5"/>
  <c r="AS147" i="5"/>
  <c r="AS220" i="5"/>
  <c r="AS324" i="5"/>
  <c r="AS8" i="5"/>
  <c r="AS42" i="5"/>
  <c r="AS499" i="5"/>
  <c r="AS419" i="5"/>
  <c r="AS348" i="5"/>
  <c r="AS278" i="5"/>
  <c r="AS362" i="5"/>
  <c r="AS486" i="5"/>
  <c r="AS291" i="5"/>
  <c r="AS502" i="5"/>
  <c r="AS368" i="5"/>
  <c r="AS90" i="5"/>
  <c r="AS120" i="5"/>
  <c r="AS175" i="5"/>
  <c r="AS326" i="5"/>
  <c r="AS126" i="5"/>
  <c r="AS363" i="5"/>
  <c r="AS41" i="5"/>
  <c r="AS52" i="5"/>
  <c r="AS230" i="5"/>
  <c r="AS60" i="5"/>
  <c r="AS455" i="5"/>
  <c r="AS319" i="5"/>
  <c r="AS198" i="5"/>
  <c r="AS200" i="5"/>
  <c r="AS82" i="5"/>
  <c r="AS351" i="5"/>
  <c r="AO10" i="5"/>
  <c r="AN10" i="5"/>
  <c r="Z55" i="4"/>
  <c r="AN55" i="4" s="1"/>
  <c r="AE26" i="4"/>
  <c r="Z76" i="4"/>
  <c r="AN76" i="4" s="1"/>
  <c r="AL210" i="5"/>
  <c r="AK210" i="5"/>
  <c r="AL500" i="5"/>
  <c r="AK500" i="5"/>
  <c r="AL177" i="5"/>
  <c r="AK177" i="5"/>
  <c r="AK95" i="5"/>
  <c r="AL95" i="5"/>
  <c r="AK181" i="5"/>
  <c r="AL181" i="5"/>
  <c r="AL373" i="5"/>
  <c r="AK373" i="5"/>
  <c r="AL543" i="5"/>
  <c r="AK543" i="5"/>
  <c r="AK281" i="5"/>
  <c r="AL281" i="5"/>
  <c r="AK450" i="5"/>
  <c r="AL450" i="5"/>
  <c r="AL278" i="5"/>
  <c r="AK278" i="5"/>
  <c r="AL376" i="5"/>
  <c r="AK376" i="5"/>
  <c r="AK271" i="5"/>
  <c r="AL271" i="5"/>
  <c r="AK275" i="5"/>
  <c r="AL275" i="5"/>
  <c r="AK74" i="5"/>
  <c r="AL74" i="5"/>
  <c r="AK474" i="5"/>
  <c r="AL474" i="5"/>
  <c r="AL367" i="5"/>
  <c r="AK367" i="5"/>
  <c r="AK538" i="5"/>
  <c r="AL538" i="5"/>
  <c r="AK415" i="5"/>
  <c r="AL415" i="5"/>
  <c r="AK33" i="5"/>
  <c r="AL33" i="5"/>
  <c r="AL189" i="5"/>
  <c r="AK189" i="5"/>
  <c r="AK204" i="5"/>
  <c r="AL204" i="5"/>
  <c r="AL201" i="5"/>
  <c r="AK201" i="5"/>
  <c r="AL518" i="5"/>
  <c r="AK518" i="5"/>
  <c r="AL114" i="5"/>
  <c r="AK114" i="5"/>
  <c r="AL349" i="5"/>
  <c r="AK349" i="5"/>
  <c r="AL333" i="5"/>
  <c r="AK333" i="5"/>
  <c r="AL195" i="5"/>
  <c r="AK195" i="5"/>
  <c r="AL468" i="5"/>
  <c r="AK468" i="5"/>
  <c r="AK559" i="5"/>
  <c r="AL559" i="5"/>
  <c r="AK23" i="5"/>
  <c r="AL23" i="5"/>
  <c r="AL347" i="5"/>
  <c r="AK347" i="5"/>
  <c r="AL427" i="5"/>
  <c r="AK427" i="5"/>
  <c r="AL103" i="5"/>
  <c r="AK103" i="5"/>
  <c r="AK265" i="5"/>
  <c r="AL265" i="5"/>
  <c r="AL157" i="5"/>
  <c r="AK157" i="5"/>
  <c r="AL49" i="5"/>
  <c r="AK49" i="5"/>
  <c r="AK357" i="5"/>
  <c r="AL357" i="5"/>
  <c r="AL418" i="5"/>
  <c r="AK418" i="5"/>
  <c r="AL240" i="5"/>
  <c r="AK240" i="5"/>
  <c r="AL108" i="5"/>
  <c r="AK108" i="5"/>
  <c r="AL490" i="5"/>
  <c r="AK490" i="5"/>
  <c r="AK448" i="5"/>
  <c r="AL448" i="5"/>
  <c r="AL241" i="5"/>
  <c r="AK241" i="5"/>
  <c r="AK79" i="5"/>
  <c r="AL79" i="5"/>
  <c r="AL469" i="5"/>
  <c r="AK469" i="5"/>
  <c r="AL558" i="5"/>
  <c r="AK558" i="5"/>
  <c r="AK508" i="5"/>
  <c r="AL508" i="5"/>
  <c r="AL365" i="5"/>
  <c r="AK365" i="5"/>
  <c r="AK370" i="5"/>
  <c r="AL370" i="5"/>
  <c r="AK151" i="5"/>
  <c r="AL151" i="5"/>
  <c r="AK179" i="5"/>
  <c r="AL179" i="5"/>
  <c r="AK253" i="5"/>
  <c r="AL253" i="5"/>
  <c r="AL498" i="5"/>
  <c r="AK498" i="5"/>
  <c r="AK478" i="5"/>
  <c r="AL478" i="5"/>
  <c r="AL481" i="5"/>
  <c r="AK481" i="5"/>
  <c r="AL335" i="5"/>
  <c r="AK335" i="5"/>
  <c r="AK100" i="5"/>
  <c r="AL100" i="5"/>
  <c r="AK212" i="5"/>
  <c r="AL212" i="5"/>
  <c r="AK184" i="5"/>
  <c r="AL184" i="5"/>
  <c r="AK380" i="5"/>
  <c r="AL380" i="5"/>
  <c r="AL62" i="5"/>
  <c r="AK62" i="5"/>
  <c r="AK163" i="5"/>
  <c r="AL163" i="5"/>
  <c r="AK405" i="5"/>
  <c r="AL405" i="5"/>
  <c r="AK45" i="5"/>
  <c r="AL45" i="5"/>
  <c r="AK273" i="5"/>
  <c r="AL273" i="5"/>
  <c r="AL464" i="5"/>
  <c r="AK464" i="5"/>
  <c r="AK489" i="5"/>
  <c r="AL489" i="5"/>
  <c r="AL102" i="5"/>
  <c r="AK102" i="5"/>
  <c r="AE105" i="4"/>
  <c r="AR463" i="5"/>
  <c r="AQ463" i="5"/>
  <c r="AR405" i="5"/>
  <c r="AQ405" i="5"/>
  <c r="AR527" i="5"/>
  <c r="AQ527" i="5"/>
  <c r="AQ62" i="5"/>
  <c r="AR62" i="5"/>
  <c r="AQ267" i="5"/>
  <c r="AR267" i="5"/>
  <c r="AR339" i="5"/>
  <c r="AQ339" i="5"/>
  <c r="AR123" i="5"/>
  <c r="AQ123" i="5"/>
  <c r="AR260" i="5"/>
  <c r="AQ260" i="5"/>
  <c r="AQ406" i="5"/>
  <c r="AR406" i="5"/>
  <c r="AR544" i="5"/>
  <c r="AQ544" i="5"/>
  <c r="AQ192" i="5"/>
  <c r="AR192" i="5"/>
  <c r="AR99" i="5"/>
  <c r="AQ99" i="5"/>
  <c r="AQ307" i="5"/>
  <c r="AR307" i="5"/>
  <c r="AR518" i="5"/>
  <c r="AQ518" i="5"/>
  <c r="AR363" i="5"/>
  <c r="AQ363" i="5"/>
  <c r="AQ395" i="5"/>
  <c r="AR395" i="5"/>
  <c r="AQ101" i="5"/>
  <c r="AR101" i="5"/>
  <c r="AR378" i="5"/>
  <c r="AQ378" i="5"/>
  <c r="AQ404" i="5"/>
  <c r="AR404" i="5"/>
  <c r="AQ374" i="5"/>
  <c r="AR374" i="5"/>
  <c r="AR142" i="5"/>
  <c r="AQ142" i="5"/>
  <c r="AQ7" i="5"/>
  <c r="AR7" i="5"/>
  <c r="AR419" i="5"/>
  <c r="AQ419" i="5"/>
  <c r="AR329" i="5"/>
  <c r="AQ329" i="5"/>
  <c r="AQ138" i="5"/>
  <c r="AR138" i="5"/>
  <c r="AQ513" i="5"/>
  <c r="AR513" i="5"/>
  <c r="AR133" i="5"/>
  <c r="AQ133" i="5"/>
  <c r="AR409" i="5"/>
  <c r="AQ409" i="5"/>
  <c r="AQ153" i="5"/>
  <c r="AR153" i="5"/>
  <c r="AQ256" i="5"/>
  <c r="AR256" i="5"/>
  <c r="AR418" i="5"/>
  <c r="AQ418" i="5"/>
  <c r="AQ385" i="5"/>
  <c r="AR385" i="5"/>
  <c r="AQ117" i="5"/>
  <c r="AR117" i="5"/>
  <c r="AQ311" i="5"/>
  <c r="AR311" i="5"/>
  <c r="AR407" i="5"/>
  <c r="AQ407" i="5"/>
  <c r="AR66" i="5"/>
  <c r="AQ66" i="5"/>
  <c r="AR300" i="5"/>
  <c r="AQ300" i="5"/>
  <c r="AQ235" i="5"/>
  <c r="AR235" i="5"/>
  <c r="AR384" i="5"/>
  <c r="AQ384" i="5"/>
  <c r="AQ397" i="5"/>
  <c r="AR397" i="5"/>
  <c r="AQ367" i="5"/>
  <c r="AR367" i="5"/>
  <c r="AQ173" i="5"/>
  <c r="AR173" i="5"/>
  <c r="AQ23" i="5"/>
  <c r="AR23" i="5"/>
  <c r="AQ202" i="5"/>
  <c r="AR202" i="5"/>
  <c r="AR178" i="5"/>
  <c r="AQ178" i="5"/>
  <c r="AR557" i="5"/>
  <c r="AQ557" i="5"/>
  <c r="AR217" i="5"/>
  <c r="AQ217" i="5"/>
  <c r="AQ333" i="5"/>
  <c r="AR333" i="5"/>
  <c r="AQ416" i="5"/>
  <c r="AR416" i="5"/>
  <c r="AQ434" i="5"/>
  <c r="AR434" i="5"/>
  <c r="AQ180" i="5"/>
  <c r="AR180" i="5"/>
  <c r="AR390" i="5"/>
  <c r="AQ390" i="5"/>
  <c r="AR558" i="5"/>
  <c r="AQ558" i="5"/>
  <c r="AQ401" i="5"/>
  <c r="AR401" i="5"/>
  <c r="AQ56" i="5"/>
  <c r="AR56" i="5"/>
  <c r="AR212" i="5"/>
  <c r="AQ212" i="5"/>
  <c r="AR175" i="5"/>
  <c r="AQ175" i="5"/>
  <c r="AQ249" i="5"/>
  <c r="AR249" i="5"/>
  <c r="AR31" i="5"/>
  <c r="AQ31" i="5"/>
  <c r="AQ447" i="5"/>
  <c r="AR447" i="5"/>
  <c r="AR441" i="5"/>
  <c r="AQ441" i="5"/>
  <c r="AR313" i="5"/>
  <c r="AQ313" i="5"/>
  <c r="AR470" i="5"/>
  <c r="AQ470" i="5"/>
  <c r="AQ545" i="5"/>
  <c r="AR545" i="5"/>
  <c r="AR234" i="5"/>
  <c r="AQ234" i="5"/>
  <c r="AQ122" i="5"/>
  <c r="AR122" i="5"/>
  <c r="AQ165" i="5"/>
  <c r="AR165" i="5"/>
  <c r="AQ156" i="5"/>
  <c r="AR156" i="5"/>
  <c r="AH7" i="5"/>
  <c r="AG7" i="5"/>
  <c r="B239" i="2" s="1"/>
  <c r="BI7" i="5"/>
  <c r="X67" i="4"/>
  <c r="AA67" i="4" s="1"/>
  <c r="AS31" i="5"/>
  <c r="AS440" i="5"/>
  <c r="AS136" i="5"/>
  <c r="AS458" i="5"/>
  <c r="AS516" i="5"/>
  <c r="AS118" i="5"/>
  <c r="AS267" i="5"/>
  <c r="AS551" i="5"/>
  <c r="AS316" i="5"/>
  <c r="AS268" i="5"/>
  <c r="AS131" i="5"/>
  <c r="AS498" i="5"/>
  <c r="AS144" i="5"/>
  <c r="AS401" i="5"/>
  <c r="AS367" i="5"/>
  <c r="AS334" i="5"/>
  <c r="AS105" i="5"/>
  <c r="AS311" i="5"/>
  <c r="AS206" i="5"/>
  <c r="AS107" i="5"/>
  <c r="AS361" i="5"/>
  <c r="AS414" i="5"/>
  <c r="AS542" i="5"/>
  <c r="AS538" i="5"/>
  <c r="AS406" i="5"/>
  <c r="AS63" i="5"/>
  <c r="AS339" i="5"/>
  <c r="AS409" i="5"/>
  <c r="AS518" i="5"/>
  <c r="AS258" i="5"/>
  <c r="AS146" i="5"/>
  <c r="AS382" i="5"/>
  <c r="AS487" i="5"/>
  <c r="AS531" i="5"/>
  <c r="AS364" i="5"/>
  <c r="AS69" i="5"/>
  <c r="AS240" i="5"/>
  <c r="AS40" i="5"/>
  <c r="AS97" i="5"/>
  <c r="AS163" i="5"/>
  <c r="AS548" i="5"/>
  <c r="AS222" i="5"/>
  <c r="AS306" i="5"/>
  <c r="AS233" i="5"/>
  <c r="AS366" i="5"/>
  <c r="AS546" i="5"/>
  <c r="AS320" i="5"/>
  <c r="AS457" i="5"/>
  <c r="AS536" i="5"/>
  <c r="AS73" i="5"/>
  <c r="AS232" i="5"/>
  <c r="AS379" i="5"/>
  <c r="AS475" i="5"/>
  <c r="AS488" i="5"/>
  <c r="AS466" i="5"/>
  <c r="AS24" i="5"/>
  <c r="AS482" i="5"/>
  <c r="AS383" i="5"/>
  <c r="AS506" i="5"/>
  <c r="AS119" i="5"/>
  <c r="AS84" i="5"/>
  <c r="AS517" i="5"/>
  <c r="AS149" i="5"/>
  <c r="AS210" i="5"/>
  <c r="AS21" i="5"/>
  <c r="AS51" i="5"/>
  <c r="AS196" i="5"/>
  <c r="AS280" i="5"/>
  <c r="Z38" i="4"/>
  <c r="AN38" i="4" s="1"/>
  <c r="AQ10" i="5"/>
  <c r="AR10" i="5"/>
  <c r="Z24" i="4"/>
  <c r="AN24" i="4" s="1"/>
  <c r="AE53" i="4"/>
  <c r="Z104" i="4"/>
  <c r="AN104" i="4" s="1"/>
  <c r="AL259" i="5"/>
  <c r="AK259" i="5"/>
  <c r="AL515" i="5"/>
  <c r="AK515" i="5"/>
  <c r="AK445" i="5"/>
  <c r="AL445" i="5"/>
  <c r="AK319" i="5"/>
  <c r="AL319" i="5"/>
  <c r="AK314" i="5"/>
  <c r="AL314" i="5"/>
  <c r="AL306" i="5"/>
  <c r="AK306" i="5"/>
  <c r="AK91" i="5"/>
  <c r="AL91" i="5"/>
  <c r="AL22" i="5"/>
  <c r="AK22" i="5"/>
  <c r="AL499" i="5"/>
  <c r="AK499" i="5"/>
  <c r="AK484" i="5"/>
  <c r="AL484" i="5"/>
  <c r="AL109" i="5"/>
  <c r="AK109" i="5"/>
  <c r="AL282" i="5"/>
  <c r="AK282" i="5"/>
  <c r="AK50" i="5"/>
  <c r="AL50" i="5"/>
  <c r="AK145" i="5"/>
  <c r="AL145" i="5"/>
  <c r="AK267" i="5"/>
  <c r="AL267" i="5"/>
  <c r="AK224" i="5"/>
  <c r="AL224" i="5"/>
  <c r="AL211" i="5"/>
  <c r="AK211" i="5"/>
  <c r="AL24" i="5"/>
  <c r="AK24" i="5"/>
  <c r="AK399" i="5"/>
  <c r="AL399" i="5"/>
  <c r="AK199" i="5"/>
  <c r="AL199" i="5"/>
  <c r="AK293" i="5"/>
  <c r="AL293" i="5"/>
  <c r="AL493" i="5"/>
  <c r="AK493" i="5"/>
  <c r="AK439" i="5"/>
  <c r="AL439" i="5"/>
  <c r="AK72" i="5"/>
  <c r="AL72" i="5"/>
  <c r="AL363" i="5"/>
  <c r="AK363" i="5"/>
  <c r="AK42" i="5"/>
  <c r="AL42" i="5"/>
  <c r="AK110" i="5"/>
  <c r="AL110" i="5"/>
  <c r="AL389" i="5"/>
  <c r="AK389" i="5"/>
  <c r="AK297" i="5"/>
  <c r="AL297" i="5"/>
  <c r="AK456" i="5"/>
  <c r="AL456" i="5"/>
  <c r="AL434" i="5"/>
  <c r="AK434" i="5"/>
  <c r="AL52" i="5"/>
  <c r="AK52" i="5"/>
  <c r="AK81" i="5"/>
  <c r="AL81" i="5"/>
  <c r="AL40" i="5"/>
  <c r="AK40" i="5"/>
  <c r="AL364" i="5"/>
  <c r="AK364" i="5"/>
  <c r="AL369" i="5"/>
  <c r="AK369" i="5"/>
  <c r="AK283" i="5"/>
  <c r="AL283" i="5"/>
  <c r="AL28" i="5"/>
  <c r="AK28" i="5"/>
  <c r="AK342" i="5"/>
  <c r="AL342" i="5"/>
  <c r="AK143" i="5"/>
  <c r="AL143" i="5"/>
  <c r="AL406" i="5"/>
  <c r="AK406" i="5"/>
  <c r="AL154" i="5"/>
  <c r="AK154" i="5"/>
  <c r="AK475" i="5"/>
  <c r="AL475" i="5"/>
  <c r="AL161" i="5"/>
  <c r="AK161" i="5"/>
  <c r="AL134" i="5"/>
  <c r="AK134" i="5"/>
  <c r="AK279" i="5"/>
  <c r="AL279" i="5"/>
  <c r="AK409" i="5"/>
  <c r="AL409" i="5"/>
  <c r="AK337" i="5"/>
  <c r="AL337" i="5"/>
  <c r="AK260" i="5"/>
  <c r="AL260" i="5"/>
  <c r="AL209" i="5"/>
  <c r="AK209" i="5"/>
  <c r="AL190" i="5"/>
  <c r="AK190" i="5"/>
  <c r="AL200" i="5"/>
  <c r="AK200" i="5"/>
  <c r="AL471" i="5"/>
  <c r="AK471" i="5"/>
  <c r="AK86" i="5"/>
  <c r="AL86" i="5"/>
  <c r="AL93" i="5"/>
  <c r="AK93" i="5"/>
  <c r="AL496" i="5"/>
  <c r="AK496" i="5"/>
  <c r="AK453" i="5"/>
  <c r="AL453" i="5"/>
  <c r="AL126" i="5"/>
  <c r="AK126" i="5"/>
  <c r="AK105" i="5"/>
  <c r="AL105" i="5"/>
  <c r="AL13" i="5"/>
  <c r="AK13" i="5"/>
  <c r="AL326" i="5"/>
  <c r="AK326" i="5"/>
  <c r="AK136" i="5"/>
  <c r="AL136" i="5"/>
  <c r="AK252" i="5"/>
  <c r="AL252" i="5"/>
  <c r="AK213" i="5"/>
  <c r="AL213" i="5"/>
  <c r="AK451" i="5"/>
  <c r="AL451" i="5"/>
  <c r="AL491" i="5"/>
  <c r="AK491" i="5"/>
  <c r="AK386" i="5"/>
  <c r="AL386" i="5"/>
  <c r="AL458" i="5"/>
  <c r="AK458" i="5"/>
  <c r="AQ553" i="5"/>
  <c r="AR553" i="5"/>
  <c r="AQ549" i="5"/>
  <c r="AR549" i="5"/>
  <c r="AR381" i="5"/>
  <c r="AQ381" i="5"/>
  <c r="AQ529" i="5"/>
  <c r="AR529" i="5"/>
  <c r="AQ290" i="5"/>
  <c r="AR290" i="5"/>
  <c r="AR150" i="5"/>
  <c r="AQ150" i="5"/>
  <c r="AR282" i="5"/>
  <c r="AQ282" i="5"/>
  <c r="AQ388" i="5"/>
  <c r="AR388" i="5"/>
  <c r="AQ81" i="5"/>
  <c r="AR81" i="5"/>
  <c r="AR87" i="5"/>
  <c r="AQ87" i="5"/>
  <c r="AQ548" i="5"/>
  <c r="AR548" i="5"/>
  <c r="AQ224" i="5"/>
  <c r="AR224" i="5"/>
  <c r="AQ476" i="5"/>
  <c r="AR476" i="5"/>
  <c r="AQ543" i="5"/>
  <c r="AR543" i="5"/>
  <c r="AQ24" i="5"/>
  <c r="AR24" i="5"/>
  <c r="AR44" i="5"/>
  <c r="AQ44" i="5"/>
  <c r="AQ182" i="5"/>
  <c r="AR182" i="5"/>
  <c r="AR244" i="5"/>
  <c r="AQ244" i="5"/>
  <c r="AQ72" i="5"/>
  <c r="AR72" i="5"/>
  <c r="AQ480" i="5"/>
  <c r="AR480" i="5"/>
  <c r="AQ163" i="5"/>
  <c r="AR163" i="5"/>
  <c r="AR444" i="5"/>
  <c r="AQ444" i="5"/>
  <c r="AQ522" i="5"/>
  <c r="AR522" i="5"/>
  <c r="AR502" i="5"/>
  <c r="AQ502" i="5"/>
  <c r="AQ308" i="5"/>
  <c r="AR308" i="5"/>
  <c r="AR314" i="5"/>
  <c r="AQ314" i="5"/>
  <c r="AR262" i="5"/>
  <c r="AQ262" i="5"/>
  <c r="AR151" i="5"/>
  <c r="AQ151" i="5"/>
  <c r="AR457" i="5"/>
  <c r="AQ457" i="5"/>
  <c r="AQ509" i="5"/>
  <c r="AR509" i="5"/>
  <c r="AQ125" i="5"/>
  <c r="AR125" i="5"/>
  <c r="AR467" i="5"/>
  <c r="AQ467" i="5"/>
  <c r="AR310" i="5"/>
  <c r="AQ310" i="5"/>
  <c r="AR560" i="5"/>
  <c r="AQ560" i="5"/>
  <c r="AR490" i="5"/>
  <c r="AQ490" i="5"/>
  <c r="AR86" i="5"/>
  <c r="AQ86" i="5"/>
  <c r="AQ469" i="5"/>
  <c r="AR469" i="5"/>
  <c r="AR13" i="5"/>
  <c r="AQ13" i="5"/>
  <c r="AQ535" i="5"/>
  <c r="AR535" i="5"/>
  <c r="AQ80" i="5"/>
  <c r="AR80" i="5"/>
  <c r="AQ373" i="5"/>
  <c r="AR373" i="5"/>
  <c r="AQ254" i="5"/>
  <c r="AR254" i="5"/>
  <c r="AR471" i="5"/>
  <c r="AQ471" i="5"/>
  <c r="AR450" i="5"/>
  <c r="AQ450" i="5"/>
  <c r="AR499" i="5"/>
  <c r="AQ499" i="5"/>
  <c r="AQ354" i="5"/>
  <c r="AR354" i="5"/>
  <c r="AQ530" i="5"/>
  <c r="AR530" i="5"/>
  <c r="AR324" i="5"/>
  <c r="AQ324" i="5"/>
  <c r="AQ193" i="5"/>
  <c r="AR193" i="5"/>
  <c r="AR462" i="5"/>
  <c r="AQ462" i="5"/>
  <c r="AR35" i="5"/>
  <c r="AQ35" i="5"/>
  <c r="AQ36" i="5"/>
  <c r="AR36" i="5"/>
  <c r="AQ74" i="5"/>
  <c r="AR74" i="5"/>
  <c r="AQ326" i="5"/>
  <c r="AR326" i="5"/>
  <c r="AQ400" i="5"/>
  <c r="AR400" i="5"/>
  <c r="AQ399" i="5"/>
  <c r="AR399" i="5"/>
  <c r="AR287" i="5"/>
  <c r="AQ287" i="5"/>
  <c r="AR108" i="5"/>
  <c r="AQ108" i="5"/>
  <c r="AR82" i="5"/>
  <c r="AQ82" i="5"/>
  <c r="AQ351" i="5"/>
  <c r="AR351" i="5"/>
  <c r="AQ280" i="5"/>
  <c r="AR280" i="5"/>
  <c r="AR89" i="5"/>
  <c r="AQ89" i="5"/>
  <c r="AR491" i="5"/>
  <c r="AQ491" i="5"/>
  <c r="AQ417" i="5"/>
  <c r="AR417" i="5"/>
  <c r="AR22" i="5"/>
  <c r="AQ22" i="5"/>
  <c r="AR188" i="5"/>
  <c r="AQ188" i="5"/>
  <c r="AQ236" i="5"/>
  <c r="AR236" i="5"/>
  <c r="AQ540" i="5"/>
  <c r="AR540" i="5"/>
  <c r="AS150" i="5"/>
  <c r="AS494" i="5"/>
  <c r="AS152" i="5"/>
  <c r="AS114" i="5"/>
  <c r="AS302" i="5"/>
  <c r="AS398" i="5"/>
  <c r="AS76" i="5"/>
  <c r="AS340" i="5"/>
  <c r="AS106" i="5"/>
  <c r="AS27" i="5"/>
  <c r="AS74" i="5"/>
  <c r="AS34" i="5"/>
  <c r="AS493" i="5"/>
  <c r="AS250" i="5"/>
  <c r="AS425" i="5"/>
  <c r="AS469" i="5"/>
  <c r="AS178" i="5"/>
  <c r="AS36" i="5"/>
  <c r="AS197" i="5"/>
  <c r="AS244" i="5"/>
  <c r="AS59" i="5"/>
  <c r="AS480" i="5"/>
  <c r="AS545" i="5"/>
  <c r="AS433" i="5"/>
  <c r="AS225" i="5"/>
  <c r="AS242" i="5"/>
  <c r="AS289" i="5"/>
  <c r="AS243" i="5"/>
  <c r="AS169" i="5"/>
  <c r="AS249" i="5"/>
  <c r="AS436" i="5"/>
  <c r="AS426" i="5"/>
  <c r="AS78" i="5"/>
  <c r="AS260" i="5"/>
  <c r="AS195" i="5"/>
  <c r="AS332" i="5"/>
  <c r="AS165" i="5"/>
  <c r="AS413" i="5"/>
  <c r="AS64" i="5"/>
  <c r="AS342" i="5"/>
  <c r="AS33" i="5"/>
  <c r="AS184" i="5"/>
  <c r="AS560" i="5"/>
  <c r="AS248" i="5"/>
  <c r="AS125" i="5"/>
  <c r="AS228" i="5"/>
  <c r="AS530" i="5"/>
  <c r="AS109" i="5"/>
  <c r="AS507" i="5"/>
  <c r="AS397" i="5"/>
  <c r="AS403" i="5"/>
  <c r="AS344" i="5"/>
  <c r="AS478" i="5"/>
  <c r="AS161" i="5"/>
  <c r="AS85" i="5"/>
  <c r="AS128" i="5"/>
  <c r="AS275" i="5"/>
  <c r="AS223" i="5"/>
  <c r="AS508" i="5"/>
  <c r="AS57" i="5"/>
  <c r="AS117" i="5"/>
  <c r="AS429" i="5"/>
  <c r="AS391" i="5"/>
  <c r="AS509" i="5"/>
  <c r="AS211" i="5"/>
  <c r="AS92" i="5"/>
  <c r="AS479" i="5"/>
  <c r="AS535" i="5"/>
  <c r="AK10" i="5"/>
  <c r="AL10" i="5"/>
  <c r="AE41" i="4"/>
  <c r="AE101" i="4"/>
  <c r="AE142" i="4"/>
  <c r="AL533" i="5"/>
  <c r="AK533" i="5"/>
  <c r="AK524" i="5"/>
  <c r="AL524" i="5"/>
  <c r="AL155" i="5"/>
  <c r="AK155" i="5"/>
  <c r="AK202" i="5"/>
  <c r="AL202" i="5"/>
  <c r="AK222" i="5"/>
  <c r="AL222" i="5"/>
  <c r="AK362" i="5"/>
  <c r="AL362" i="5"/>
  <c r="AL358" i="5"/>
  <c r="AK358" i="5"/>
  <c r="AL43" i="5"/>
  <c r="AK43" i="5"/>
  <c r="AL272" i="5"/>
  <c r="AK272" i="5"/>
  <c r="AL270" i="5"/>
  <c r="AK270" i="5"/>
  <c r="AK130" i="5"/>
  <c r="AL130" i="5"/>
  <c r="AK67" i="5"/>
  <c r="AL67" i="5"/>
  <c r="AK251" i="5"/>
  <c r="AL251" i="5"/>
  <c r="AK44" i="5"/>
  <c r="AL44" i="5"/>
  <c r="AK63" i="5"/>
  <c r="AL63" i="5"/>
  <c r="AK397" i="5"/>
  <c r="AL397" i="5"/>
  <c r="AK142" i="5"/>
  <c r="AL142" i="5"/>
  <c r="AK530" i="5"/>
  <c r="AL530" i="5"/>
  <c r="AL303" i="5"/>
  <c r="AK303" i="5"/>
  <c r="AL111" i="5"/>
  <c r="AK111" i="5"/>
  <c r="AL208" i="5"/>
  <c r="AK208" i="5"/>
  <c r="AL463" i="5"/>
  <c r="AK463" i="5"/>
  <c r="AL410" i="5"/>
  <c r="AK410" i="5"/>
  <c r="AK316" i="5"/>
  <c r="AL316" i="5"/>
  <c r="AL138" i="5"/>
  <c r="AK138" i="5"/>
  <c r="AL169" i="5"/>
  <c r="AK169" i="5"/>
  <c r="AL383" i="5"/>
  <c r="AK383" i="5"/>
  <c r="AL176" i="5"/>
  <c r="AK176" i="5"/>
  <c r="AL242" i="5"/>
  <c r="AK242" i="5"/>
  <c r="AK116" i="5"/>
  <c r="AL116" i="5"/>
  <c r="AK551" i="5"/>
  <c r="AL551" i="5"/>
  <c r="AK300" i="5"/>
  <c r="AL300" i="5"/>
  <c r="AK78" i="5"/>
  <c r="AL78" i="5"/>
  <c r="AL90" i="5"/>
  <c r="AK90" i="5"/>
  <c r="AL393" i="5"/>
  <c r="AK393" i="5"/>
  <c r="AL384" i="5"/>
  <c r="AK384" i="5"/>
  <c r="AL308" i="5"/>
  <c r="AK308" i="5"/>
  <c r="AK555" i="5"/>
  <c r="AL555" i="5"/>
  <c r="AK340" i="5"/>
  <c r="AL340" i="5"/>
  <c r="AK431" i="5"/>
  <c r="AL431" i="5"/>
  <c r="AK98" i="5"/>
  <c r="AL98" i="5"/>
  <c r="AK196" i="5"/>
  <c r="AL196" i="5"/>
  <c r="AK547" i="5"/>
  <c r="AL547" i="5"/>
  <c r="AL80" i="5"/>
  <c r="AK80" i="5"/>
  <c r="AK311" i="5"/>
  <c r="AL311" i="5"/>
  <c r="AL274" i="5"/>
  <c r="AK274" i="5"/>
  <c r="AL127" i="5"/>
  <c r="AK127" i="5"/>
  <c r="AK495" i="5"/>
  <c r="AL495" i="5"/>
  <c r="AK159" i="5"/>
  <c r="AL159" i="5"/>
  <c r="AK430" i="5"/>
  <c r="AL430" i="5"/>
  <c r="AK71" i="5"/>
  <c r="AL71" i="5"/>
  <c r="AK519" i="5"/>
  <c r="AL519" i="5"/>
  <c r="AK64" i="5"/>
  <c r="AL64" i="5"/>
  <c r="AK215" i="5"/>
  <c r="AL215" i="5"/>
  <c r="AK465" i="5"/>
  <c r="AL465" i="5"/>
  <c r="AK232" i="5"/>
  <c r="AL232" i="5"/>
  <c r="AK193" i="5"/>
  <c r="AL193" i="5"/>
  <c r="AL122" i="5"/>
  <c r="AK122" i="5"/>
  <c r="AL291" i="5"/>
  <c r="AK291" i="5"/>
  <c r="AL511" i="5"/>
  <c r="AK511" i="5"/>
  <c r="AK30" i="5"/>
  <c r="AL30" i="5"/>
  <c r="AK411" i="5"/>
  <c r="AL411" i="5"/>
  <c r="AL483" i="5"/>
  <c r="AK483" i="5"/>
  <c r="AK245" i="5"/>
  <c r="AL245" i="5"/>
  <c r="AK341" i="5"/>
  <c r="AL341" i="5"/>
  <c r="AL150" i="5"/>
  <c r="AK150" i="5"/>
  <c r="AK395" i="5"/>
  <c r="AL395" i="5"/>
  <c r="AK372" i="5"/>
  <c r="AL372" i="5"/>
  <c r="AL387" i="5"/>
  <c r="AK387" i="5"/>
  <c r="Z127" i="4"/>
  <c r="AN127" i="4" s="1"/>
  <c r="AE18" i="4"/>
  <c r="B240" i="2"/>
  <c r="B274" i="2"/>
  <c r="H104" i="1" s="1"/>
  <c r="AR421" i="5"/>
  <c r="AQ421" i="5"/>
  <c r="AQ237" i="5"/>
  <c r="AR237" i="5"/>
  <c r="AR484" i="5"/>
  <c r="AQ484" i="5"/>
  <c r="AR408" i="5"/>
  <c r="AQ408" i="5"/>
  <c r="AR189" i="5"/>
  <c r="AQ189" i="5"/>
  <c r="AQ448" i="5"/>
  <c r="AR448" i="5"/>
  <c r="AQ443" i="5"/>
  <c r="AR443" i="5"/>
  <c r="AQ179" i="5"/>
  <c r="AR179" i="5"/>
  <c r="AR306" i="5"/>
  <c r="AQ306" i="5"/>
  <c r="AQ503" i="5"/>
  <c r="AR503" i="5"/>
  <c r="AR352" i="5"/>
  <c r="AQ352" i="5"/>
  <c r="AR452" i="5"/>
  <c r="AQ452" i="5"/>
  <c r="AR53" i="5"/>
  <c r="AQ53" i="5"/>
  <c r="AQ454" i="5"/>
  <c r="AR454" i="5"/>
  <c r="AR346" i="5"/>
  <c r="AQ346" i="5"/>
  <c r="AR164" i="5"/>
  <c r="AQ164" i="5"/>
  <c r="AR451" i="5"/>
  <c r="AQ451" i="5"/>
  <c r="AQ205" i="5"/>
  <c r="AR205" i="5"/>
  <c r="AR358" i="5"/>
  <c r="AQ358" i="5"/>
  <c r="AQ84" i="5"/>
  <c r="AR84" i="5"/>
  <c r="AR423" i="5"/>
  <c r="AQ423" i="5"/>
  <c r="AQ255" i="5"/>
  <c r="AR255" i="5"/>
  <c r="AQ559" i="5"/>
  <c r="AR559" i="5"/>
  <c r="AR495" i="5"/>
  <c r="AQ495" i="5"/>
  <c r="AR525" i="5"/>
  <c r="AQ525" i="5"/>
  <c r="AQ372" i="5"/>
  <c r="AR372" i="5"/>
  <c r="AQ83" i="5"/>
  <c r="AR83" i="5"/>
  <c r="AQ335" i="5"/>
  <c r="AR335" i="5"/>
  <c r="AR312" i="5"/>
  <c r="AQ312" i="5"/>
  <c r="AQ347" i="5"/>
  <c r="AR347" i="5"/>
  <c r="AR318" i="5"/>
  <c r="AQ318" i="5"/>
  <c r="AQ264" i="5"/>
  <c r="AR264" i="5"/>
  <c r="AQ141" i="5"/>
  <c r="AR141" i="5"/>
  <c r="AR412" i="5"/>
  <c r="AQ412" i="5"/>
  <c r="AR468" i="5"/>
  <c r="AQ468" i="5"/>
  <c r="AR186" i="5"/>
  <c r="AQ186" i="5"/>
  <c r="AR350" i="5"/>
  <c r="AQ350" i="5"/>
  <c r="AR129" i="5"/>
  <c r="AQ129" i="5"/>
  <c r="AQ546" i="5"/>
  <c r="AR546" i="5"/>
  <c r="AQ162" i="5"/>
  <c r="AR162" i="5"/>
  <c r="AQ341" i="5"/>
  <c r="AR341" i="5"/>
  <c r="AR532" i="5"/>
  <c r="AQ532" i="5"/>
  <c r="AQ268" i="5"/>
  <c r="AR268" i="5"/>
  <c r="AQ547" i="5"/>
  <c r="AR547" i="5"/>
  <c r="AQ100" i="5"/>
  <c r="AR100" i="5"/>
  <c r="AR316" i="5"/>
  <c r="AQ316" i="5"/>
  <c r="AR95" i="5"/>
  <c r="AQ95" i="5"/>
  <c r="AR172" i="5"/>
  <c r="AQ172" i="5"/>
  <c r="AQ336" i="5"/>
  <c r="AR336" i="5"/>
  <c r="AR229" i="5"/>
  <c r="AQ229" i="5"/>
  <c r="AQ473" i="5"/>
  <c r="AR473" i="5"/>
  <c r="AQ131" i="5"/>
  <c r="AR131" i="5"/>
  <c r="AR496" i="5"/>
  <c r="AQ496" i="5"/>
  <c r="AQ424" i="5"/>
  <c r="AR424" i="5"/>
  <c r="AR453" i="5"/>
  <c r="AQ453" i="5"/>
  <c r="AQ177" i="5"/>
  <c r="AR177" i="5"/>
  <c r="AQ279" i="5"/>
  <c r="AR279" i="5"/>
  <c r="AQ221" i="5"/>
  <c r="AR221" i="5"/>
  <c r="AR114" i="5"/>
  <c r="AQ114" i="5"/>
  <c r="AR380" i="5"/>
  <c r="AQ380" i="5"/>
  <c r="AQ539" i="5"/>
  <c r="AR539" i="5"/>
  <c r="AR64" i="5"/>
  <c r="AQ64" i="5"/>
  <c r="AR78" i="5"/>
  <c r="AQ78" i="5"/>
  <c r="AR550" i="5"/>
  <c r="AQ550" i="5"/>
  <c r="AQ76" i="5"/>
  <c r="AR76" i="5"/>
  <c r="AR154" i="5"/>
  <c r="AQ154" i="5"/>
  <c r="AQ360" i="5"/>
  <c r="AR360" i="5"/>
  <c r="AQ252" i="5"/>
  <c r="AR252" i="5"/>
  <c r="AR71" i="5"/>
  <c r="AQ71" i="5"/>
  <c r="Z88" i="4"/>
  <c r="AN88" i="4" s="1"/>
  <c r="AS138" i="5"/>
  <c r="AS133" i="5"/>
  <c r="AS437" i="5"/>
  <c r="AS221" i="5"/>
  <c r="AS214" i="5"/>
  <c r="AS537" i="5"/>
  <c r="AS23" i="5"/>
  <c r="AS173" i="5"/>
  <c r="AS443" i="5"/>
  <c r="AS501" i="5"/>
  <c r="AS454" i="5"/>
  <c r="AS456" i="5"/>
  <c r="AS263" i="5"/>
  <c r="AS68" i="5"/>
  <c r="AS343" i="5"/>
  <c r="AS207" i="5"/>
  <c r="AS378" i="5"/>
  <c r="AS513" i="5"/>
  <c r="AS148" i="5"/>
  <c r="AS81" i="5"/>
  <c r="AS216" i="5"/>
  <c r="AS179" i="5"/>
  <c r="AS504" i="5"/>
  <c r="AS271" i="5"/>
  <c r="AS323" i="5"/>
  <c r="AS72" i="5"/>
  <c r="AS392" i="5"/>
  <c r="AS407" i="5"/>
  <c r="AS236" i="5"/>
  <c r="AS314" i="5"/>
  <c r="AS341" i="5"/>
  <c r="AS540" i="5"/>
  <c r="AS520" i="5"/>
  <c r="AS127" i="5"/>
  <c r="AS273" i="5"/>
  <c r="AS180" i="5"/>
  <c r="AS282" i="5"/>
  <c r="AS219" i="5"/>
  <c r="AS534" i="5"/>
  <c r="AS396" i="5"/>
  <c r="AS465" i="5"/>
  <c r="AS449" i="5"/>
  <c r="AS172" i="5"/>
  <c r="AS124" i="5"/>
  <c r="AS301" i="5"/>
  <c r="AS284" i="5"/>
  <c r="AS430" i="5"/>
  <c r="AS505" i="5"/>
  <c r="AS20" i="5"/>
  <c r="AS45" i="5"/>
  <c r="AS215" i="5"/>
  <c r="AS532" i="5"/>
  <c r="AS62" i="5"/>
  <c r="AS313" i="5"/>
  <c r="AS235" i="5"/>
  <c r="AS416" i="5"/>
  <c r="AS86" i="5"/>
  <c r="AS13" i="5"/>
  <c r="AS7" i="5"/>
  <c r="AS524" i="5"/>
  <c r="AS58" i="5"/>
  <c r="AS53" i="5"/>
  <c r="AS420" i="5"/>
  <c r="AS98" i="5"/>
  <c r="AS19" i="5"/>
  <c r="AS371" i="5"/>
  <c r="AS22" i="5"/>
  <c r="AS553" i="5"/>
  <c r="AY10" i="5"/>
  <c r="AX10" i="5"/>
  <c r="BF10" i="5"/>
  <c r="AB10" i="5"/>
  <c r="AA10" i="5"/>
  <c r="AE108" i="4"/>
  <c r="AE21" i="4"/>
  <c r="AK12" i="5"/>
  <c r="AL12" i="5"/>
  <c r="AL182" i="5"/>
  <c r="AK182" i="5"/>
  <c r="AK444" i="5"/>
  <c r="AL444" i="5"/>
  <c r="AL133" i="5"/>
  <c r="AK133" i="5"/>
  <c r="AL135" i="5"/>
  <c r="AK135" i="5"/>
  <c r="AK104" i="5"/>
  <c r="AL104" i="5"/>
  <c r="AK539" i="5"/>
  <c r="AL539" i="5"/>
  <c r="AK345" i="5"/>
  <c r="AL345" i="5"/>
  <c r="AK205" i="5"/>
  <c r="AL205" i="5"/>
  <c r="AL526" i="5"/>
  <c r="AK526" i="5"/>
  <c r="AK26" i="5"/>
  <c r="AL26" i="5"/>
  <c r="AL137" i="5"/>
  <c r="AK137" i="5"/>
  <c r="AL32" i="5"/>
  <c r="AK32" i="5"/>
  <c r="AK414" i="5"/>
  <c r="AL414" i="5"/>
  <c r="AL19" i="5"/>
  <c r="AK19" i="5"/>
  <c r="AK118" i="5"/>
  <c r="AL118" i="5"/>
  <c r="AK223" i="5"/>
  <c r="AL223" i="5"/>
  <c r="AL436" i="5"/>
  <c r="AK436" i="5"/>
  <c r="AL388" i="5"/>
  <c r="AK388" i="5"/>
  <c r="AL140" i="5"/>
  <c r="AK140" i="5"/>
  <c r="AK246" i="5"/>
  <c r="AL246" i="5"/>
  <c r="AL92" i="5"/>
  <c r="AK92" i="5"/>
  <c r="AL442" i="5"/>
  <c r="AK442" i="5"/>
  <c r="AK178" i="5"/>
  <c r="AL178" i="5"/>
  <c r="AL191" i="5"/>
  <c r="AK191" i="5"/>
  <c r="AL53" i="5"/>
  <c r="AK53" i="5"/>
  <c r="AL422" i="5"/>
  <c r="AK422" i="5"/>
  <c r="AL492" i="5"/>
  <c r="AK492" i="5"/>
  <c r="AK454" i="5"/>
  <c r="AL454" i="5"/>
  <c r="AL501" i="5"/>
  <c r="AK501" i="5"/>
  <c r="AL402" i="5"/>
  <c r="AK402" i="5"/>
  <c r="AK425" i="5"/>
  <c r="AL425" i="5"/>
  <c r="AK268" i="5"/>
  <c r="AL268" i="5"/>
  <c r="AK231" i="5"/>
  <c r="AL231" i="5"/>
  <c r="AK175" i="5"/>
  <c r="AL175" i="5"/>
  <c r="AK226" i="5"/>
  <c r="AL226" i="5"/>
  <c r="AL84" i="5"/>
  <c r="AK84" i="5"/>
  <c r="AL263" i="5"/>
  <c r="AK263" i="5"/>
  <c r="AL381" i="5"/>
  <c r="AK381" i="5"/>
  <c r="AL96" i="5"/>
  <c r="AK96" i="5"/>
  <c r="AL330" i="5"/>
  <c r="AK330" i="5"/>
  <c r="AL485" i="5"/>
  <c r="AK485" i="5"/>
  <c r="AK497" i="5"/>
  <c r="AL497" i="5"/>
  <c r="AK225" i="5"/>
  <c r="AL225" i="5"/>
  <c r="AK247" i="5"/>
  <c r="AL247" i="5"/>
  <c r="AL346" i="5"/>
  <c r="AK346" i="5"/>
  <c r="AL172" i="5"/>
  <c r="AK172" i="5"/>
  <c r="AK545" i="5"/>
  <c r="AL545" i="5"/>
  <c r="AL101" i="5"/>
  <c r="AK101" i="5"/>
  <c r="AL146" i="5"/>
  <c r="AK146" i="5"/>
  <c r="AK168" i="5"/>
  <c r="AL168" i="5"/>
  <c r="AL31" i="5"/>
  <c r="AK31" i="5"/>
  <c r="AL437" i="5"/>
  <c r="AK437" i="5"/>
  <c r="AL516" i="5"/>
  <c r="AK516" i="5"/>
  <c r="AL394" i="5"/>
  <c r="AK394" i="5"/>
  <c r="AK237" i="5"/>
  <c r="AL237" i="5"/>
  <c r="AL250" i="5"/>
  <c r="AK250" i="5"/>
  <c r="AL89" i="5"/>
  <c r="AK89" i="5"/>
  <c r="AK302" i="5"/>
  <c r="AL302" i="5"/>
  <c r="AL59" i="5"/>
  <c r="AK59" i="5"/>
  <c r="AL228" i="5"/>
  <c r="AK228" i="5"/>
  <c r="AL460" i="5"/>
  <c r="AK460" i="5"/>
  <c r="AK197" i="5"/>
  <c r="AL197" i="5"/>
  <c r="AK525" i="5"/>
  <c r="AL525" i="5"/>
  <c r="AK509" i="5"/>
  <c r="AL509" i="5"/>
  <c r="AL351" i="5"/>
  <c r="AK351" i="5"/>
  <c r="AL54" i="5"/>
  <c r="AK54" i="5"/>
  <c r="AL541" i="5"/>
  <c r="AK541" i="5"/>
  <c r="AL396" i="5"/>
  <c r="AK396" i="5"/>
  <c r="AE30" i="4"/>
  <c r="AR322" i="5"/>
  <c r="AQ322" i="5"/>
  <c r="AR445" i="5"/>
  <c r="AQ445" i="5"/>
  <c r="AR353" i="5"/>
  <c r="AQ353" i="5"/>
  <c r="AQ149" i="5"/>
  <c r="AR149" i="5"/>
  <c r="AQ232" i="5"/>
  <c r="AR232" i="5"/>
  <c r="AR344" i="5"/>
  <c r="AQ344" i="5"/>
  <c r="AR79" i="5"/>
  <c r="AQ79" i="5"/>
  <c r="AQ464" i="5"/>
  <c r="AR464" i="5"/>
  <c r="AR386" i="5"/>
  <c r="AQ386" i="5"/>
  <c r="AQ355" i="5"/>
  <c r="AR355" i="5"/>
  <c r="AR68" i="5"/>
  <c r="AQ68" i="5"/>
  <c r="AQ158" i="5"/>
  <c r="AR158" i="5"/>
  <c r="AR97" i="5"/>
  <c r="AQ97" i="5"/>
  <c r="AQ98" i="5"/>
  <c r="AR98" i="5"/>
  <c r="AQ501" i="5"/>
  <c r="AR501" i="5"/>
  <c r="AR92" i="5"/>
  <c r="AQ92" i="5"/>
  <c r="AR375" i="5"/>
  <c r="AQ375" i="5"/>
  <c r="AR30" i="5"/>
  <c r="AQ30" i="5"/>
  <c r="AQ51" i="5"/>
  <c r="AR51" i="5"/>
  <c r="AR446" i="5"/>
  <c r="AQ446" i="5"/>
  <c r="AQ497" i="5"/>
  <c r="AR497" i="5"/>
  <c r="AR319" i="5"/>
  <c r="AQ319" i="5"/>
  <c r="AQ284" i="5"/>
  <c r="AR284" i="5"/>
  <c r="AQ109" i="5"/>
  <c r="AR109" i="5"/>
  <c r="AR228" i="5"/>
  <c r="AQ228" i="5"/>
  <c r="AQ204" i="5"/>
  <c r="AR204" i="5"/>
  <c r="AQ60" i="5"/>
  <c r="AR60" i="5"/>
  <c r="AQ121" i="5"/>
  <c r="AR121" i="5"/>
  <c r="AQ379" i="5"/>
  <c r="AR379" i="5"/>
  <c r="AR428" i="5"/>
  <c r="AQ428" i="5"/>
  <c r="AQ19" i="5"/>
  <c r="AR19" i="5"/>
  <c r="AR270" i="5"/>
  <c r="AQ270" i="5"/>
  <c r="AR349" i="5"/>
  <c r="AQ349" i="5"/>
  <c r="AQ431" i="5"/>
  <c r="AR431" i="5"/>
  <c r="AR432" i="5"/>
  <c r="AQ432" i="5"/>
  <c r="AQ356" i="5"/>
  <c r="AR356" i="5"/>
  <c r="AQ128" i="5"/>
  <c r="AR128" i="5"/>
  <c r="AR449" i="5"/>
  <c r="AQ449" i="5"/>
  <c r="AQ168" i="5"/>
  <c r="AR168" i="5"/>
  <c r="AR488" i="5"/>
  <c r="AQ488" i="5"/>
  <c r="AR338" i="5"/>
  <c r="AQ338" i="5"/>
  <c r="AQ437" i="5"/>
  <c r="AR437" i="5"/>
  <c r="AR197" i="5"/>
  <c r="AQ197" i="5"/>
  <c r="AQ136" i="5"/>
  <c r="AR136" i="5"/>
  <c r="AR269" i="5"/>
  <c r="AQ269" i="5"/>
  <c r="AR492" i="5"/>
  <c r="AQ492" i="5"/>
  <c r="AR239" i="5"/>
  <c r="AQ239" i="5"/>
  <c r="AR296" i="5"/>
  <c r="AQ296" i="5"/>
  <c r="AQ309" i="5"/>
  <c r="AR309" i="5"/>
  <c r="AQ439" i="5"/>
  <c r="AR439" i="5"/>
  <c r="AQ456" i="5"/>
  <c r="AR456" i="5"/>
  <c r="AQ20" i="5"/>
  <c r="AR20" i="5"/>
  <c r="AQ194" i="5"/>
  <c r="AR194" i="5"/>
  <c r="AR27" i="5"/>
  <c r="AQ27" i="5"/>
  <c r="AR47" i="5"/>
  <c r="AQ47" i="5"/>
  <c r="AQ485" i="5"/>
  <c r="AR485" i="5"/>
  <c r="AR215" i="5"/>
  <c r="AQ215" i="5"/>
  <c r="AR207" i="5"/>
  <c r="AQ207" i="5"/>
  <c r="AR263" i="5"/>
  <c r="AQ263" i="5"/>
  <c r="AQ57" i="5"/>
  <c r="AR57" i="5"/>
  <c r="AQ220" i="5"/>
  <c r="AR220" i="5"/>
  <c r="AQ61" i="5"/>
  <c r="AR61" i="5"/>
  <c r="AQ219" i="5"/>
  <c r="AR219" i="5"/>
  <c r="AR340" i="5"/>
  <c r="AQ340" i="5"/>
  <c r="AR413" i="5"/>
  <c r="AQ413" i="5"/>
  <c r="AQ242" i="5"/>
  <c r="AR242" i="5"/>
  <c r="AR210" i="5"/>
  <c r="AQ210" i="5"/>
  <c r="AR198" i="5"/>
  <c r="AQ198" i="5"/>
  <c r="AQ88" i="5"/>
  <c r="AR88" i="5"/>
  <c r="AS358" i="5"/>
  <c r="AS203" i="5"/>
  <c r="AS322" i="5"/>
  <c r="AS151" i="5"/>
  <c r="AS388" i="5"/>
  <c r="AS325" i="5"/>
  <c r="AS171" i="5"/>
  <c r="AS360" i="5"/>
  <c r="AS115" i="5"/>
  <c r="AS122" i="5"/>
  <c r="AS229" i="5"/>
  <c r="AS140" i="5"/>
  <c r="AS467" i="5"/>
  <c r="AS292" i="5"/>
  <c r="AS428" i="5"/>
  <c r="AS309" i="5"/>
  <c r="AS541" i="5"/>
  <c r="AS338" i="5"/>
  <c r="AS373" i="5"/>
  <c r="AS459" i="5"/>
  <c r="AS185" i="5"/>
  <c r="AS49" i="5"/>
  <c r="AS192" i="5"/>
  <c r="AS28" i="5"/>
  <c r="AS329" i="5"/>
  <c r="AS103" i="5"/>
  <c r="AS158" i="5"/>
  <c r="AS99" i="5"/>
  <c r="AS194" i="5"/>
  <c r="AS12" i="5"/>
  <c r="AS238" i="5"/>
  <c r="AS461" i="5"/>
  <c r="AS384" i="5"/>
  <c r="AS296" i="5"/>
  <c r="AS75" i="5"/>
  <c r="AS410" i="5"/>
  <c r="AS241" i="5"/>
  <c r="AS490" i="5"/>
  <c r="AS139" i="5"/>
  <c r="AS411" i="5"/>
  <c r="AS497" i="5"/>
  <c r="AS153" i="5"/>
  <c r="AS295" i="5"/>
  <c r="AS347" i="5"/>
  <c r="AS155" i="5"/>
  <c r="AS162" i="5"/>
  <c r="AS181" i="5"/>
  <c r="AS224" i="5"/>
  <c r="AS503" i="5"/>
  <c r="AS539" i="5"/>
  <c r="AS446" i="5"/>
  <c r="AS549" i="5"/>
  <c r="AS71" i="5"/>
  <c r="AS297" i="5"/>
  <c r="AS290" i="5"/>
  <c r="AS476" i="5"/>
  <c r="AS380" i="5"/>
  <c r="AS448" i="5"/>
  <c r="AS442" i="5"/>
  <c r="AS87" i="5"/>
  <c r="AS35" i="5"/>
  <c r="AS212" i="5"/>
  <c r="AS417" i="5"/>
  <c r="AS272" i="5"/>
  <c r="AS381" i="5"/>
  <c r="AS265" i="5"/>
  <c r="AS353" i="5"/>
  <c r="AS156" i="5"/>
  <c r="AE120" i="4"/>
  <c r="BE10" i="5"/>
  <c r="BD10" i="5"/>
  <c r="BA10" i="5"/>
  <c r="BB10" i="5"/>
  <c r="AE129" i="4"/>
  <c r="Z129" i="4"/>
  <c r="AN129" i="4" s="1"/>
  <c r="AE63" i="4"/>
  <c r="AE68" i="4"/>
  <c r="AK21" i="5"/>
  <c r="AL21" i="5"/>
  <c r="AL359" i="5"/>
  <c r="AK359" i="5"/>
  <c r="AK488" i="5"/>
  <c r="AL488" i="5"/>
  <c r="AL99" i="5"/>
  <c r="AK99" i="5"/>
  <c r="AL266" i="5"/>
  <c r="AK266" i="5"/>
  <c r="AK186" i="5"/>
  <c r="AL186" i="5"/>
  <c r="AL236" i="5"/>
  <c r="AK236" i="5"/>
  <c r="AK467" i="5"/>
  <c r="AL467" i="5"/>
  <c r="AL344" i="5"/>
  <c r="AK344" i="5"/>
  <c r="AL371" i="5"/>
  <c r="AK371" i="5"/>
  <c r="AK292" i="5"/>
  <c r="AL292" i="5"/>
  <c r="AK353" i="5"/>
  <c r="AL353" i="5"/>
  <c r="AK38" i="5"/>
  <c r="AL38" i="5"/>
  <c r="AK554" i="5"/>
  <c r="AL554" i="5"/>
  <c r="AK41" i="5"/>
  <c r="AL41" i="5"/>
  <c r="AK117" i="5"/>
  <c r="AL117" i="5"/>
  <c r="AL360" i="5"/>
  <c r="AK360" i="5"/>
  <c r="AL404" i="5"/>
  <c r="AK404" i="5"/>
  <c r="AL479" i="5"/>
  <c r="AK479" i="5"/>
  <c r="AK276" i="5"/>
  <c r="AL276" i="5"/>
  <c r="AK505" i="5"/>
  <c r="AL505" i="5"/>
  <c r="AK435" i="5"/>
  <c r="AL435" i="5"/>
  <c r="AK58" i="5"/>
  <c r="AL58" i="5"/>
  <c r="AL423" i="5"/>
  <c r="AK423" i="5"/>
  <c r="AL452" i="5"/>
  <c r="AK452" i="5"/>
  <c r="AL239" i="5"/>
  <c r="AK239" i="5"/>
  <c r="AL112" i="5"/>
  <c r="AK112" i="5"/>
  <c r="AL243" i="5"/>
  <c r="AK243" i="5"/>
  <c r="AL290" i="5"/>
  <c r="AK290" i="5"/>
  <c r="AL123" i="5"/>
  <c r="AK123" i="5"/>
  <c r="AL147" i="5"/>
  <c r="AK147" i="5"/>
  <c r="AK534" i="5"/>
  <c r="AL534" i="5"/>
  <c r="AL537" i="5"/>
  <c r="AK537" i="5"/>
  <c r="AL132" i="5"/>
  <c r="AK132" i="5"/>
  <c r="AK106" i="5"/>
  <c r="AL106" i="5"/>
  <c r="AL158" i="5"/>
  <c r="AK158" i="5"/>
  <c r="AK477" i="5"/>
  <c r="AL477" i="5"/>
  <c r="AK421" i="5"/>
  <c r="AL421" i="5"/>
  <c r="AK77" i="5"/>
  <c r="AL77" i="5"/>
  <c r="AL113" i="5"/>
  <c r="AK113" i="5"/>
  <c r="AL174" i="5"/>
  <c r="AK174" i="5"/>
  <c r="AL494" i="5"/>
  <c r="AK494" i="5"/>
  <c r="AK27" i="5"/>
  <c r="AL27" i="5"/>
  <c r="AK317" i="5"/>
  <c r="AL317" i="5"/>
  <c r="AK285" i="5"/>
  <c r="AL285" i="5"/>
  <c r="AK141" i="5"/>
  <c r="AL141" i="5"/>
  <c r="AL188" i="5"/>
  <c r="AK188" i="5"/>
  <c r="AK227" i="5"/>
  <c r="AL227" i="5"/>
  <c r="AK35" i="5"/>
  <c r="AL35" i="5"/>
  <c r="AL527" i="5"/>
  <c r="AK527" i="5"/>
  <c r="AL55" i="5"/>
  <c r="AK55" i="5"/>
  <c r="AK264" i="5"/>
  <c r="AL264" i="5"/>
  <c r="AK107" i="5"/>
  <c r="AL107" i="5"/>
  <c r="AL332" i="5"/>
  <c r="AK332" i="5"/>
  <c r="AL400" i="5"/>
  <c r="AK400" i="5"/>
  <c r="AL356" i="5"/>
  <c r="AK356" i="5"/>
  <c r="AL323" i="5"/>
  <c r="AK323" i="5"/>
  <c r="AL254" i="5"/>
  <c r="AK254" i="5"/>
  <c r="AL153" i="5"/>
  <c r="AK153" i="5"/>
  <c r="AL131" i="5"/>
  <c r="AK131" i="5"/>
  <c r="AK385" i="5"/>
  <c r="AL385" i="5"/>
  <c r="AL459" i="5"/>
  <c r="AK459" i="5"/>
  <c r="AL390" i="5"/>
  <c r="AK390" i="5"/>
  <c r="AL324" i="5"/>
  <c r="AK324" i="5"/>
  <c r="AK432" i="5"/>
  <c r="AL432" i="5"/>
  <c r="AK443" i="5"/>
  <c r="AL443" i="5"/>
  <c r="AK249" i="5"/>
  <c r="AL249" i="5"/>
  <c r="AK325" i="5"/>
  <c r="AL325" i="5"/>
  <c r="B100" i="2"/>
  <c r="H33" i="1"/>
  <c r="Z18" i="4"/>
  <c r="Z135" i="4"/>
  <c r="AR521" i="5"/>
  <c r="AQ521" i="5"/>
  <c r="AR130" i="5"/>
  <c r="AQ130" i="5"/>
  <c r="AQ137" i="5"/>
  <c r="AR137" i="5"/>
  <c r="AQ323" i="5"/>
  <c r="AR323" i="5"/>
  <c r="AQ429" i="5"/>
  <c r="AR429" i="5"/>
  <c r="AQ436" i="5"/>
  <c r="AR436" i="5"/>
  <c r="AQ440" i="5"/>
  <c r="AR440" i="5"/>
  <c r="AQ201" i="5"/>
  <c r="AR201" i="5"/>
  <c r="AQ494" i="5"/>
  <c r="AR494" i="5"/>
  <c r="AR135" i="5"/>
  <c r="AQ135" i="5"/>
  <c r="AQ426" i="5"/>
  <c r="AR426" i="5"/>
  <c r="AQ230" i="5"/>
  <c r="AR230" i="5"/>
  <c r="AR170" i="5"/>
  <c r="AQ170" i="5"/>
  <c r="AR261" i="5"/>
  <c r="AQ261" i="5"/>
  <c r="AQ33" i="5"/>
  <c r="AR33" i="5"/>
  <c r="AQ96" i="5"/>
  <c r="AR96" i="5"/>
  <c r="AR320" i="5"/>
  <c r="AQ320" i="5"/>
  <c r="AQ184" i="5"/>
  <c r="AR184" i="5"/>
  <c r="AR430" i="5"/>
  <c r="AQ430" i="5"/>
  <c r="AQ218" i="5"/>
  <c r="AR218" i="5"/>
  <c r="AQ396" i="5"/>
  <c r="AR396" i="5"/>
  <c r="AQ487" i="5"/>
  <c r="AR487" i="5"/>
  <c r="AQ52" i="5"/>
  <c r="AR52" i="5"/>
  <c r="AR486" i="5"/>
  <c r="AQ486" i="5"/>
  <c r="AQ259" i="5"/>
  <c r="AR259" i="5"/>
  <c r="AQ43" i="5"/>
  <c r="AR43" i="5"/>
  <c r="AR159" i="5"/>
  <c r="AQ159" i="5"/>
  <c r="AQ332" i="5"/>
  <c r="AR332" i="5"/>
  <c r="AQ248" i="5"/>
  <c r="AR248" i="5"/>
  <c r="AR28" i="5"/>
  <c r="AQ28" i="5"/>
  <c r="AR187" i="5"/>
  <c r="AQ187" i="5"/>
  <c r="AR478" i="5"/>
  <c r="AQ478" i="5"/>
  <c r="AR317" i="5"/>
  <c r="AQ317" i="5"/>
  <c r="AR116" i="5"/>
  <c r="AQ116" i="5"/>
  <c r="AQ132" i="5"/>
  <c r="AR132" i="5"/>
  <c r="AR410" i="5"/>
  <c r="AQ410" i="5"/>
  <c r="AQ455" i="5"/>
  <c r="AR455" i="5"/>
  <c r="AR206" i="5"/>
  <c r="AQ206" i="5"/>
  <c r="AQ533" i="5"/>
  <c r="AR533" i="5"/>
  <c r="AQ364" i="5"/>
  <c r="AR364" i="5"/>
  <c r="AR481" i="5"/>
  <c r="AQ481" i="5"/>
  <c r="AQ510" i="5"/>
  <c r="AR510" i="5"/>
  <c r="AQ40" i="5"/>
  <c r="AR40" i="5"/>
  <c r="AQ297" i="5"/>
  <c r="AR297" i="5"/>
  <c r="AR325" i="5"/>
  <c r="AQ325" i="5"/>
  <c r="AQ420" i="5"/>
  <c r="AR420" i="5"/>
  <c r="AQ315" i="5"/>
  <c r="AR315" i="5"/>
  <c r="AQ504" i="5"/>
  <c r="AR504" i="5"/>
  <c r="AR343" i="5"/>
  <c r="AQ343" i="5"/>
  <c r="AR281" i="5"/>
  <c r="AQ281" i="5"/>
  <c r="AR73" i="5"/>
  <c r="AQ73" i="5"/>
  <c r="AR246" i="5"/>
  <c r="AQ246" i="5"/>
  <c r="AR536" i="5"/>
  <c r="AQ536" i="5"/>
  <c r="AQ157" i="5"/>
  <c r="AR157" i="5"/>
  <c r="AR67" i="5"/>
  <c r="AQ67" i="5"/>
  <c r="AR140" i="5"/>
  <c r="AQ140" i="5"/>
  <c r="AR368" i="5"/>
  <c r="AQ368" i="5"/>
  <c r="AR115" i="5"/>
  <c r="AQ115" i="5"/>
  <c r="AQ411" i="5"/>
  <c r="AR411" i="5"/>
  <c r="AQ276" i="5"/>
  <c r="AR276" i="5"/>
  <c r="AQ556" i="5"/>
  <c r="AR556" i="5"/>
  <c r="AQ144" i="5"/>
  <c r="AR144" i="5"/>
  <c r="AQ474" i="5"/>
  <c r="AR474" i="5"/>
  <c r="AR102" i="5"/>
  <c r="AQ102" i="5"/>
  <c r="AQ299" i="5"/>
  <c r="AR299" i="5"/>
  <c r="AQ233" i="5"/>
  <c r="AR233" i="5"/>
  <c r="AQ465" i="5"/>
  <c r="AR465" i="5"/>
  <c r="Z30" i="4"/>
  <c r="X30" i="4" s="1"/>
  <c r="AJ30" i="4" s="1"/>
  <c r="Z113" i="4"/>
  <c r="Z118" i="4"/>
  <c r="AN118" i="4" s="1"/>
  <c r="Z120" i="4"/>
  <c r="AN120" i="4" s="1"/>
  <c r="AS46" i="5"/>
  <c r="AS529" i="5"/>
  <c r="AS434" i="5"/>
  <c r="AS237" i="5"/>
  <c r="AS299" i="5"/>
  <c r="AS452" i="5"/>
  <c r="AS239" i="5"/>
  <c r="AS257" i="5"/>
  <c r="AS190" i="5"/>
  <c r="AS427" i="5"/>
  <c r="AS543" i="5"/>
  <c r="AS408" i="5"/>
  <c r="AS550" i="5"/>
  <c r="AS166" i="5"/>
  <c r="AS130" i="5"/>
  <c r="AS111" i="5"/>
  <c r="AS32" i="5"/>
  <c r="AS218" i="5"/>
  <c r="AS277" i="5"/>
  <c r="AS318" i="5"/>
  <c r="AS30" i="5"/>
  <c r="AS483" i="5"/>
  <c r="AS304" i="5"/>
  <c r="AS39" i="5"/>
  <c r="AS202" i="5"/>
  <c r="AS514" i="5"/>
  <c r="AS349" i="5"/>
  <c r="AS254" i="5"/>
  <c r="AS523" i="5"/>
  <c r="AS47" i="5"/>
  <c r="AS204" i="5"/>
  <c r="AS418" i="5"/>
  <c r="AS208" i="5"/>
  <c r="AS445" i="5"/>
  <c r="AS317" i="5"/>
  <c r="AS199" i="5"/>
  <c r="AS462" i="5"/>
  <c r="AS555" i="5"/>
  <c r="AS170" i="5"/>
  <c r="AS300" i="5"/>
  <c r="AS102" i="5"/>
  <c r="AS108" i="5"/>
  <c r="AS253" i="5"/>
  <c r="AS164" i="5"/>
  <c r="AS355" i="5"/>
  <c r="AS444" i="5"/>
  <c r="AS270" i="5"/>
  <c r="AS431" i="5"/>
  <c r="AS331" i="5"/>
  <c r="AS279" i="5"/>
  <c r="AS423" i="5"/>
  <c r="AS359" i="5"/>
  <c r="AS439" i="5"/>
  <c r="AS474" i="5"/>
  <c r="AS54" i="5"/>
  <c r="AS489" i="5"/>
  <c r="AS29" i="5"/>
  <c r="AS385" i="5"/>
  <c r="AS100" i="5"/>
  <c r="AS67" i="5"/>
  <c r="AS80" i="5"/>
  <c r="AS346" i="5"/>
  <c r="AS116" i="5"/>
  <c r="AS477" i="5"/>
  <c r="AS205" i="5"/>
  <c r="AS154" i="5"/>
  <c r="AS285" i="5"/>
  <c r="AS129" i="5"/>
  <c r="AS435" i="5"/>
  <c r="Z77" i="4"/>
  <c r="Z16" i="4"/>
  <c r="Z90" i="4"/>
  <c r="Z137" i="4"/>
  <c r="AN137" i="4" s="1"/>
  <c r="Z84" i="4"/>
  <c r="Q10" i="5"/>
  <c r="Z54" i="4"/>
  <c r="AE49" i="4"/>
  <c r="AE127" i="4"/>
  <c r="AE13" i="4"/>
  <c r="Z62" i="4"/>
  <c r="AN62" i="4" s="1"/>
  <c r="AL238" i="5"/>
  <c r="AK238" i="5"/>
  <c r="AK412" i="5"/>
  <c r="AL412" i="5"/>
  <c r="AK166" i="5"/>
  <c r="AL166" i="5"/>
  <c r="AK366" i="5"/>
  <c r="AL366" i="5"/>
  <c r="AK532" i="5"/>
  <c r="AL532" i="5"/>
  <c r="AL156" i="5"/>
  <c r="AK156" i="5"/>
  <c r="AL255" i="5"/>
  <c r="AK255" i="5"/>
  <c r="AL480" i="5"/>
  <c r="AK480" i="5"/>
  <c r="AK446" i="5"/>
  <c r="AL446" i="5"/>
  <c r="AK76" i="5"/>
  <c r="AL76" i="5"/>
  <c r="AK544" i="5"/>
  <c r="AL544" i="5"/>
  <c r="AL472" i="5"/>
  <c r="AK472" i="5"/>
  <c r="AK318" i="5"/>
  <c r="AL318" i="5"/>
  <c r="AL139" i="5"/>
  <c r="AK139" i="5"/>
  <c r="AL339" i="5"/>
  <c r="AK339" i="5"/>
  <c r="AK506" i="5"/>
  <c r="AL506" i="5"/>
  <c r="AL8" i="5"/>
  <c r="AK8" i="5"/>
  <c r="AK487" i="5"/>
  <c r="AL487" i="5"/>
  <c r="AL198" i="5"/>
  <c r="AK198" i="5"/>
  <c r="AL449" i="5"/>
  <c r="AK449" i="5"/>
  <c r="AK216" i="5"/>
  <c r="AL216" i="5"/>
  <c r="AK523" i="5"/>
  <c r="AL523" i="5"/>
  <c r="AL66" i="5"/>
  <c r="AK66" i="5"/>
  <c r="AK65" i="5"/>
  <c r="AL65" i="5"/>
  <c r="AK328" i="5"/>
  <c r="AL328" i="5"/>
  <c r="AK56" i="5"/>
  <c r="AL56" i="5"/>
  <c r="AK408" i="5"/>
  <c r="AL408" i="5"/>
  <c r="AK307" i="5"/>
  <c r="AL307" i="5"/>
  <c r="AL322" i="5"/>
  <c r="AK322" i="5"/>
  <c r="AL221" i="5"/>
  <c r="AK221" i="5"/>
  <c r="AL514" i="5"/>
  <c r="AK514" i="5"/>
  <c r="AL556" i="5"/>
  <c r="AK556" i="5"/>
  <c r="AK517" i="5"/>
  <c r="AL517" i="5"/>
  <c r="AK355" i="5"/>
  <c r="AL355" i="5"/>
  <c r="AK235" i="5"/>
  <c r="AL235" i="5"/>
  <c r="AL39" i="5"/>
  <c r="AK39" i="5"/>
  <c r="AL70" i="5"/>
  <c r="AK70" i="5"/>
  <c r="AK549" i="5"/>
  <c r="AL549" i="5"/>
  <c r="AL183" i="5"/>
  <c r="AK183" i="5"/>
  <c r="AK46" i="5"/>
  <c r="AL46" i="5"/>
  <c r="AK529" i="5"/>
  <c r="AL529" i="5"/>
  <c r="AK375" i="5"/>
  <c r="AL375" i="5"/>
  <c r="AK310" i="5"/>
  <c r="AL310" i="5"/>
  <c r="AK29" i="5"/>
  <c r="AL29" i="5"/>
  <c r="AL417" i="5"/>
  <c r="AK417" i="5"/>
  <c r="AK429" i="5"/>
  <c r="AL429" i="5"/>
  <c r="AL119" i="5"/>
  <c r="AK119" i="5"/>
  <c r="AL25" i="5"/>
  <c r="AK25" i="5"/>
  <c r="AK144" i="5"/>
  <c r="AL144" i="5"/>
  <c r="AK83" i="5"/>
  <c r="AL83" i="5"/>
  <c r="AK428" i="5"/>
  <c r="AL428" i="5"/>
  <c r="AL256" i="5"/>
  <c r="AK256" i="5"/>
  <c r="AL304" i="5"/>
  <c r="AK304" i="5"/>
  <c r="AK207" i="5"/>
  <c r="AL207" i="5"/>
  <c r="AL352" i="5"/>
  <c r="AK352" i="5"/>
  <c r="AK214" i="5"/>
  <c r="AL214" i="5"/>
  <c r="AK329" i="5"/>
  <c r="AL329" i="5"/>
  <c r="AK354" i="5"/>
  <c r="AL354" i="5"/>
  <c r="AL60" i="5"/>
  <c r="AK60" i="5"/>
  <c r="AK327" i="5"/>
  <c r="AL327" i="5"/>
  <c r="AL164" i="5"/>
  <c r="AK164" i="5"/>
  <c r="AK512" i="5"/>
  <c r="AL512" i="5"/>
  <c r="AL233" i="5"/>
  <c r="AK233" i="5"/>
  <c r="AL560" i="5"/>
  <c r="AK560" i="5"/>
  <c r="AK68" i="5"/>
  <c r="AL68" i="5"/>
  <c r="AK343" i="5"/>
  <c r="AL343" i="5"/>
  <c r="AK382" i="5"/>
  <c r="AL382" i="5"/>
  <c r="AK482" i="5"/>
  <c r="AL482" i="5"/>
  <c r="B113" i="2"/>
  <c r="P64" i="5"/>
  <c r="P134" i="5"/>
  <c r="P272" i="5"/>
  <c r="P386" i="5"/>
  <c r="P314" i="5"/>
  <c r="P422" i="5"/>
  <c r="P518" i="5"/>
  <c r="P487" i="5"/>
  <c r="P96" i="5"/>
  <c r="P341" i="5"/>
  <c r="P338" i="5"/>
  <c r="P521" i="5"/>
  <c r="P203" i="5"/>
  <c r="P349" i="5"/>
  <c r="P73" i="5"/>
  <c r="P469" i="5"/>
  <c r="P178" i="5"/>
  <c r="P331" i="5"/>
  <c r="P510" i="5"/>
  <c r="P260" i="5"/>
  <c r="P266" i="5"/>
  <c r="P537" i="5"/>
  <c r="P102" i="5"/>
  <c r="P493" i="5"/>
  <c r="P377" i="5"/>
  <c r="P21" i="5"/>
  <c r="P228" i="5"/>
  <c r="P438" i="5"/>
  <c r="P542" i="5"/>
  <c r="P113" i="5"/>
  <c r="P119" i="5"/>
  <c r="P224" i="5"/>
  <c r="P138" i="5"/>
  <c r="P230" i="5"/>
  <c r="P396" i="5"/>
  <c r="P249" i="5"/>
  <c r="P81" i="5"/>
  <c r="P388" i="5"/>
  <c r="P441" i="5"/>
  <c r="P529" i="5"/>
  <c r="P88" i="5"/>
  <c r="P218" i="5"/>
  <c r="P307" i="5"/>
  <c r="P559" i="5"/>
  <c r="P327" i="5"/>
  <c r="P397" i="5"/>
  <c r="P297" i="5"/>
  <c r="P553" i="5"/>
  <c r="P263" i="5"/>
  <c r="P26" i="5"/>
  <c r="P33" i="5"/>
  <c r="P294" i="5"/>
  <c r="P121" i="5"/>
  <c r="P532" i="5"/>
  <c r="P100" i="5"/>
  <c r="P124" i="5"/>
  <c r="P244" i="5"/>
  <c r="P333" i="5"/>
  <c r="P336" i="5"/>
  <c r="P94" i="5"/>
  <c r="P412" i="5"/>
  <c r="P190" i="5"/>
  <c r="P46" i="5"/>
  <c r="P72" i="5"/>
  <c r="P195" i="5"/>
  <c r="P447" i="5"/>
  <c r="P211" i="5"/>
  <c r="P186" i="5"/>
  <c r="P450" i="5"/>
  <c r="P210" i="5"/>
  <c r="P496" i="5"/>
  <c r="P363" i="5"/>
  <c r="P161" i="5"/>
  <c r="P429" i="5"/>
  <c r="P346" i="5"/>
  <c r="P492" i="5"/>
  <c r="P282" i="5"/>
  <c r="P455" i="5"/>
  <c r="P362" i="5"/>
  <c r="P382" i="5"/>
  <c r="P87" i="5"/>
  <c r="P295" i="5"/>
  <c r="P387" i="5"/>
  <c r="P216" i="5"/>
  <c r="P471" i="5"/>
  <c r="P558" i="5"/>
  <c r="P85" i="5"/>
  <c r="P419" i="5"/>
  <c r="P271" i="5"/>
  <c r="P131" i="5"/>
  <c r="P407" i="5"/>
  <c r="P368" i="5"/>
  <c r="P342" i="5"/>
  <c r="P316" i="5"/>
  <c r="P552" i="5"/>
  <c r="P172" i="5"/>
  <c r="P474" i="5"/>
  <c r="P142" i="5"/>
  <c r="P52" i="5"/>
  <c r="P460" i="5"/>
  <c r="P433" i="5"/>
  <c r="P536" i="5"/>
  <c r="P115" i="5"/>
  <c r="P554" i="5"/>
  <c r="P321" i="5"/>
  <c r="P240" i="5"/>
  <c r="P29" i="5"/>
  <c r="P483" i="5"/>
  <c r="P262" i="5"/>
  <c r="P531" i="5"/>
  <c r="P373" i="5"/>
  <c r="P185" i="5"/>
  <c r="P478" i="5"/>
  <c r="P315" i="5"/>
  <c r="P501" i="5"/>
  <c r="P44" i="5"/>
  <c r="P239" i="5"/>
  <c r="P465" i="5"/>
  <c r="P160" i="5"/>
  <c r="P132" i="5"/>
  <c r="P220" i="5"/>
  <c r="P504" i="5"/>
  <c r="P151" i="5"/>
  <c r="P439" i="5"/>
  <c r="P428" i="5"/>
  <c r="P13" i="5"/>
  <c r="P527" i="5"/>
  <c r="P326" i="5"/>
  <c r="P24" i="5"/>
  <c r="P278" i="5"/>
  <c r="P414" i="5"/>
  <c r="P390" i="5"/>
  <c r="P143" i="5"/>
  <c r="P183" i="5"/>
  <c r="P393" i="5"/>
  <c r="P395" i="5"/>
  <c r="P226" i="5"/>
  <c r="P275" i="5"/>
  <c r="P51" i="5"/>
  <c r="P188" i="5"/>
  <c r="P117" i="5"/>
  <c r="P49" i="5"/>
  <c r="P313" i="5"/>
  <c r="P201" i="5"/>
  <c r="P212" i="5"/>
  <c r="P545" i="5"/>
  <c r="P173" i="5"/>
  <c r="P423" i="5"/>
  <c r="P540" i="5"/>
  <c r="P329" i="5"/>
  <c r="P348" i="5"/>
  <c r="P385" i="5"/>
  <c r="P371" i="5"/>
  <c r="P352" i="5"/>
  <c r="P446" i="5"/>
  <c r="P456" i="5"/>
  <c r="P443" i="5"/>
  <c r="P56" i="5"/>
  <c r="P191" i="5"/>
  <c r="P509" i="5"/>
  <c r="P19" i="5"/>
  <c r="P372" i="5"/>
  <c r="P366" i="5"/>
  <c r="P175" i="5"/>
  <c r="P182" i="5"/>
  <c r="P485" i="5"/>
  <c r="P415" i="5"/>
  <c r="P476" i="5"/>
  <c r="P357" i="5"/>
  <c r="P500" i="5"/>
  <c r="P281" i="5"/>
  <c r="P293" i="5"/>
  <c r="P61" i="5"/>
  <c r="P425" i="5"/>
  <c r="P413" i="5"/>
  <c r="P445" i="5"/>
  <c r="P320" i="5"/>
  <c r="P120" i="5"/>
  <c r="P417" i="5"/>
  <c r="P421" i="5"/>
  <c r="P149" i="5"/>
  <c r="P147" i="5"/>
  <c r="P71" i="5"/>
  <c r="P528" i="5"/>
  <c r="P475" i="5"/>
  <c r="P379" i="5"/>
  <c r="P358" i="5"/>
  <c r="P97" i="5"/>
  <c r="P106" i="5"/>
  <c r="P511" i="5"/>
  <c r="P136" i="5"/>
  <c r="P208" i="5"/>
  <c r="P243" i="5"/>
  <c r="P221" i="5"/>
  <c r="P227" i="5"/>
  <c r="P364" i="5"/>
  <c r="P549" i="5"/>
  <c r="P63" i="5"/>
  <c r="P36" i="5"/>
  <c r="P376" i="5"/>
  <c r="P280" i="5"/>
  <c r="P125" i="5"/>
  <c r="P309" i="5"/>
  <c r="P296" i="5"/>
  <c r="P225" i="5"/>
  <c r="P473" i="5"/>
  <c r="P384" i="5"/>
  <c r="P356" i="5"/>
  <c r="P93" i="5"/>
  <c r="P380" i="5"/>
  <c r="P264" i="5"/>
  <c r="P337" i="5"/>
  <c r="P156" i="5"/>
  <c r="P223" i="5"/>
  <c r="P80" i="5"/>
  <c r="P95" i="5"/>
  <c r="P401" i="5"/>
  <c r="P108" i="5"/>
  <c r="P277" i="5"/>
  <c r="P520" i="5"/>
  <c r="P111" i="5"/>
  <c r="P232" i="5"/>
  <c r="P375" i="5"/>
  <c r="P525" i="5"/>
  <c r="P524" i="5"/>
  <c r="P128" i="5"/>
  <c r="P53" i="5"/>
  <c r="P304" i="5"/>
  <c r="P389" i="5"/>
  <c r="P38" i="5"/>
  <c r="P58" i="5"/>
  <c r="P68" i="5"/>
  <c r="P361" i="5"/>
  <c r="P35" i="5"/>
  <c r="P99" i="5"/>
  <c r="P45" i="5"/>
  <c r="P43" i="5"/>
  <c r="P265" i="5"/>
  <c r="P32" i="5"/>
  <c r="P470" i="5"/>
  <c r="P259" i="5"/>
  <c r="P39" i="5"/>
  <c r="P404" i="5"/>
  <c r="P189" i="5"/>
  <c r="P530" i="5"/>
  <c r="P541" i="5"/>
  <c r="P353" i="5"/>
  <c r="P145" i="5"/>
  <c r="P416" i="5"/>
  <c r="P205" i="5"/>
  <c r="P28" i="5"/>
  <c r="P305" i="5"/>
  <c r="P166" i="5"/>
  <c r="P497" i="5"/>
  <c r="P405" i="5"/>
  <c r="P513" i="5"/>
  <c r="P241" i="5"/>
  <c r="P168" i="5"/>
  <c r="P23" i="5"/>
  <c r="P484" i="5"/>
  <c r="P141" i="5"/>
  <c r="P453" i="5"/>
  <c r="P30" i="5"/>
  <c r="P279" i="5"/>
  <c r="P179" i="5"/>
  <c r="P468" i="5"/>
  <c r="P204" i="5"/>
  <c r="P430" i="5"/>
  <c r="P82" i="5"/>
  <c r="P459" i="5"/>
  <c r="P199" i="5"/>
  <c r="P463" i="5"/>
  <c r="P253" i="5"/>
  <c r="P202" i="5"/>
  <c r="P519" i="5"/>
  <c r="P383" i="5"/>
  <c r="P135" i="5"/>
  <c r="P479" i="5"/>
  <c r="P535" i="5"/>
  <c r="P308" i="5"/>
  <c r="P503" i="5"/>
  <c r="P79" i="5"/>
  <c r="P420" i="5"/>
  <c r="P154" i="5"/>
  <c r="P302" i="5"/>
  <c r="P323" i="5"/>
  <c r="P392" i="5"/>
  <c r="P381" i="5"/>
  <c r="P548" i="5"/>
  <c r="P369" i="5"/>
  <c r="P57" i="5"/>
  <c r="P229" i="5"/>
  <c r="P286" i="5"/>
  <c r="P86" i="5"/>
  <c r="P318" i="5"/>
  <c r="P440" i="5"/>
  <c r="P289" i="5"/>
  <c r="P98" i="5"/>
  <c r="P55" i="5"/>
  <c r="P345" i="5"/>
  <c r="P139" i="5"/>
  <c r="P66" i="5"/>
  <c r="P325" i="5"/>
  <c r="P50" i="5"/>
  <c r="P452" i="5"/>
  <c r="P284" i="5"/>
  <c r="P20" i="5"/>
  <c r="P488" i="5"/>
  <c r="P60" i="5"/>
  <c r="P498" i="5"/>
  <c r="P126" i="5"/>
  <c r="P48" i="5"/>
  <c r="P538" i="5"/>
  <c r="P69" i="5"/>
  <c r="P411" i="5"/>
  <c r="P129" i="5"/>
  <c r="P47" i="5"/>
  <c r="P27" i="5"/>
  <c r="P255" i="5"/>
  <c r="P472" i="5"/>
  <c r="P122" i="5"/>
  <c r="P546" i="5"/>
  <c r="P180" i="5"/>
  <c r="P192" i="5"/>
  <c r="P110" i="5"/>
  <c r="P219" i="5"/>
  <c r="P155" i="5"/>
  <c r="P270" i="5"/>
  <c r="P105" i="5"/>
  <c r="P22" i="5"/>
  <c r="P551" i="5"/>
  <c r="P543" i="5"/>
  <c r="P242" i="5"/>
  <c r="P269" i="5"/>
  <c r="P322" i="5"/>
  <c r="P408" i="5"/>
  <c r="P334" i="5"/>
  <c r="P451" i="5"/>
  <c r="P394" i="5"/>
  <c r="P65" i="5"/>
  <c r="P170" i="5"/>
  <c r="P365" i="5"/>
  <c r="P347" i="5"/>
  <c r="P339" i="5"/>
  <c r="P410" i="5"/>
  <c r="P177" i="5"/>
  <c r="P324" i="5"/>
  <c r="P299" i="5"/>
  <c r="P311" i="5"/>
  <c r="P252" i="5"/>
  <c r="P557" i="5"/>
  <c r="P477" i="5"/>
  <c r="P198" i="5"/>
  <c r="P344" i="5"/>
  <c r="P254" i="5"/>
  <c r="P359" i="5"/>
  <c r="P250" i="5"/>
  <c r="P506" i="5"/>
  <c r="P499" i="5"/>
  <c r="P200" i="5"/>
  <c r="P140" i="5"/>
  <c r="P157" i="5"/>
  <c r="P54" i="5"/>
  <c r="P235" i="5"/>
  <c r="P480" i="5"/>
  <c r="P448" i="5"/>
  <c r="P12" i="5"/>
  <c r="P152" i="5"/>
  <c r="P237" i="5"/>
  <c r="P214" i="5"/>
  <c r="P146" i="5"/>
  <c r="P206" i="5"/>
  <c r="P332" i="5"/>
  <c r="P354" i="5"/>
  <c r="P165" i="5"/>
  <c r="P83" i="5"/>
  <c r="P458" i="5"/>
  <c r="P426" i="5"/>
  <c r="P424" i="5"/>
  <c r="P312" i="5"/>
  <c r="P84" i="5"/>
  <c r="P174" i="5"/>
  <c r="P187" i="5"/>
  <c r="P317" i="5"/>
  <c r="P403" i="5"/>
  <c r="P298" i="5"/>
  <c r="P355" i="5"/>
  <c r="P461" i="5"/>
  <c r="P163" i="5"/>
  <c r="P123" i="5"/>
  <c r="P505" i="5"/>
  <c r="P402" i="5"/>
  <c r="P194" i="5"/>
  <c r="P514" i="5"/>
  <c r="P103" i="5"/>
  <c r="P162" i="5"/>
  <c r="P350" i="5"/>
  <c r="P256" i="5"/>
  <c r="P274" i="5"/>
  <c r="P268" i="5"/>
  <c r="P442" i="5"/>
  <c r="P550" i="5"/>
  <c r="P9" i="5"/>
  <c r="P107" i="5"/>
  <c r="P11" i="5"/>
  <c r="P556" i="5"/>
  <c r="P547" i="5"/>
  <c r="P292" i="5"/>
  <c r="P181" i="5"/>
  <c r="P112" i="5"/>
  <c r="P467" i="5"/>
  <c r="P427" i="5"/>
  <c r="P303" i="5"/>
  <c r="P409" i="5"/>
  <c r="P515" i="5"/>
  <c r="P248" i="5"/>
  <c r="AF248" i="5" s="1"/>
  <c r="P251" i="5"/>
  <c r="P434" i="5"/>
  <c r="P114" i="5"/>
  <c r="P287" i="5"/>
  <c r="P158" i="5"/>
  <c r="P233" i="5"/>
  <c r="P222" i="5"/>
  <c r="P197" i="5"/>
  <c r="P306" i="5"/>
  <c r="P75" i="5"/>
  <c r="P482" i="5"/>
  <c r="P10" i="5"/>
  <c r="P399" i="5"/>
  <c r="P457" i="5"/>
  <c r="P153" i="5"/>
  <c r="P90" i="5"/>
  <c r="P491" i="5"/>
  <c r="P276" i="5"/>
  <c r="P502" i="5"/>
  <c r="P234" i="5"/>
  <c r="P508" i="5"/>
  <c r="P137" i="5"/>
  <c r="P406" i="5"/>
  <c r="P74" i="5"/>
  <c r="P70" i="5"/>
  <c r="P370" i="5"/>
  <c r="P522" i="5"/>
  <c r="P169" i="5"/>
  <c r="P319" i="5"/>
  <c r="P523" i="5"/>
  <c r="P76" i="5"/>
  <c r="P301" i="5"/>
  <c r="P539" i="5"/>
  <c r="P300" i="5"/>
  <c r="P283" i="5"/>
  <c r="P351" i="5"/>
  <c r="P398" i="5"/>
  <c r="P526" i="5"/>
  <c r="P42" i="5"/>
  <c r="P247" i="5"/>
  <c r="P437" i="5"/>
  <c r="P290" i="5"/>
  <c r="P534" i="5"/>
  <c r="P335" i="5"/>
  <c r="P164" i="5"/>
  <c r="P454" i="5"/>
  <c r="P560" i="5"/>
  <c r="P231" i="5"/>
  <c r="P466" i="5"/>
  <c r="P449" i="5"/>
  <c r="P343" i="5"/>
  <c r="P116" i="5"/>
  <c r="P273" i="5"/>
  <c r="P236" i="5"/>
  <c r="P62" i="5"/>
  <c r="P310" i="5"/>
  <c r="P291" i="5"/>
  <c r="P418" i="5"/>
  <c r="P367" i="5"/>
  <c r="P481" i="5"/>
  <c r="P89" i="5"/>
  <c r="P444" i="5"/>
  <c r="P245" i="5"/>
  <c r="P431" i="5"/>
  <c r="P101" i="5"/>
  <c r="P104" i="5"/>
  <c r="P130" i="5"/>
  <c r="P31" i="5"/>
  <c r="P432" i="5"/>
  <c r="P489" i="5"/>
  <c r="P109" i="5"/>
  <c r="P41" i="5"/>
  <c r="P391" i="5"/>
  <c r="P159" i="5"/>
  <c r="P127" i="5"/>
  <c r="P374" i="5"/>
  <c r="P40" i="5"/>
  <c r="P544" i="5"/>
  <c r="P517" i="5"/>
  <c r="P176" i="5"/>
  <c r="P285" i="5"/>
  <c r="AF285" i="5" s="1"/>
  <c r="P507" i="5"/>
  <c r="P67" i="5"/>
  <c r="P258" i="5"/>
  <c r="P462" i="5"/>
  <c r="P436" i="5"/>
  <c r="P495" i="5"/>
  <c r="P209" i="5"/>
  <c r="P213" i="5"/>
  <c r="P246" i="5"/>
  <c r="P8" i="5"/>
  <c r="P133" i="5"/>
  <c r="P486" i="5"/>
  <c r="P533" i="5"/>
  <c r="P435" i="5"/>
  <c r="P215" i="5"/>
  <c r="P59" i="5"/>
  <c r="P340" i="5"/>
  <c r="P328" i="5"/>
  <c r="P78" i="5"/>
  <c r="P91" i="5"/>
  <c r="P555" i="5"/>
  <c r="P34" i="5"/>
  <c r="P360" i="5"/>
  <c r="P288" i="5"/>
  <c r="P217" i="5"/>
  <c r="P400" i="5"/>
  <c r="P184" i="5"/>
  <c r="P516" i="5"/>
  <c r="P148" i="5"/>
  <c r="P490" i="5"/>
  <c r="P378" i="5"/>
  <c r="P150" i="5"/>
  <c r="P261" i="5"/>
  <c r="P238" i="5"/>
  <c r="P167" i="5"/>
  <c r="P464" i="5"/>
  <c r="P25" i="5"/>
  <c r="P257" i="5"/>
  <c r="P193" i="5"/>
  <c r="P144" i="5"/>
  <c r="P207" i="5"/>
  <c r="P118" i="5"/>
  <c r="P512" i="5"/>
  <c r="P494" i="5"/>
  <c r="P77" i="5"/>
  <c r="P267" i="5"/>
  <c r="P171" i="5"/>
  <c r="P196" i="5"/>
  <c r="P92" i="5"/>
  <c r="P330" i="5"/>
  <c r="AQ517" i="5"/>
  <c r="AR517" i="5"/>
  <c r="AQ554" i="5"/>
  <c r="AR554" i="5"/>
  <c r="AQ147" i="5"/>
  <c r="AR147" i="5"/>
  <c r="AR520" i="5"/>
  <c r="AQ520" i="5"/>
  <c r="AR519" i="5"/>
  <c r="AQ519" i="5"/>
  <c r="AQ459" i="5"/>
  <c r="AR459" i="5"/>
  <c r="AQ258" i="5"/>
  <c r="AR258" i="5"/>
  <c r="AR376" i="5"/>
  <c r="AQ376" i="5"/>
  <c r="AQ506" i="5"/>
  <c r="AR506" i="5"/>
  <c r="AR25" i="5"/>
  <c r="AQ25" i="5"/>
  <c r="AQ466" i="5"/>
  <c r="AR466" i="5"/>
  <c r="AR551" i="5"/>
  <c r="AQ551" i="5"/>
  <c r="AQ391" i="5"/>
  <c r="AR391" i="5"/>
  <c r="AQ301" i="5"/>
  <c r="AR301" i="5"/>
  <c r="AQ293" i="5"/>
  <c r="AR293" i="5"/>
  <c r="AQ223" i="5"/>
  <c r="AR223" i="5"/>
  <c r="AQ105" i="5"/>
  <c r="AR105" i="5"/>
  <c r="AQ387" i="5"/>
  <c r="AR387" i="5"/>
  <c r="AQ49" i="5"/>
  <c r="AR49" i="5"/>
  <c r="AR257" i="5"/>
  <c r="AQ257" i="5"/>
  <c r="AR245" i="5"/>
  <c r="AQ245" i="5"/>
  <c r="AR274" i="5"/>
  <c r="AQ274" i="5"/>
  <c r="AR238" i="5"/>
  <c r="AQ238" i="5"/>
  <c r="AQ392" i="5"/>
  <c r="AR392" i="5"/>
  <c r="AQ240" i="5"/>
  <c r="AR240" i="5"/>
  <c r="AQ460" i="5"/>
  <c r="AR460" i="5"/>
  <c r="AR146" i="5"/>
  <c r="AQ146" i="5"/>
  <c r="AR523" i="5"/>
  <c r="AQ523" i="5"/>
  <c r="AR393" i="5"/>
  <c r="AQ393" i="5"/>
  <c r="AQ277" i="5"/>
  <c r="AR277" i="5"/>
  <c r="AQ21" i="5"/>
  <c r="AR21" i="5"/>
  <c r="AR283" i="5"/>
  <c r="AQ283" i="5"/>
  <c r="AQ357" i="5"/>
  <c r="AR357" i="5"/>
  <c r="AR222" i="5"/>
  <c r="AQ222" i="5"/>
  <c r="AR327" i="5"/>
  <c r="AQ327" i="5"/>
  <c r="AQ211" i="5"/>
  <c r="AR211" i="5"/>
  <c r="AQ161" i="5"/>
  <c r="AR161" i="5"/>
  <c r="AQ126" i="5"/>
  <c r="AR126" i="5"/>
  <c r="AQ120" i="5"/>
  <c r="AR120" i="5"/>
  <c r="AR155" i="5"/>
  <c r="AQ155" i="5"/>
  <c r="AQ12" i="5"/>
  <c r="AR12" i="5"/>
  <c r="AR289" i="5"/>
  <c r="AQ289" i="5"/>
  <c r="AR139" i="5"/>
  <c r="AQ139" i="5"/>
  <c r="AR516" i="5"/>
  <c r="AQ516" i="5"/>
  <c r="AQ214" i="5"/>
  <c r="AR214" i="5"/>
  <c r="AR118" i="5"/>
  <c r="AQ118" i="5"/>
  <c r="AQ382" i="5"/>
  <c r="AR382" i="5"/>
  <c r="AQ435" i="5"/>
  <c r="AR435" i="5"/>
  <c r="AR524" i="5"/>
  <c r="AQ524" i="5"/>
  <c r="AR39" i="5"/>
  <c r="AQ39" i="5"/>
  <c r="AQ110" i="5"/>
  <c r="AR110" i="5"/>
  <c r="AR272" i="5"/>
  <c r="AQ272" i="5"/>
  <c r="AR330" i="5"/>
  <c r="AQ330" i="5"/>
  <c r="AQ531" i="5"/>
  <c r="AR531" i="5"/>
  <c r="AR303" i="5"/>
  <c r="AQ303" i="5"/>
  <c r="AR345" i="5"/>
  <c r="AQ345" i="5"/>
  <c r="AQ292" i="5"/>
  <c r="AR292" i="5"/>
  <c r="AQ534" i="5"/>
  <c r="AR534" i="5"/>
  <c r="AR104" i="5"/>
  <c r="AQ104" i="5"/>
  <c r="AR209" i="5"/>
  <c r="AQ209" i="5"/>
  <c r="AQ427" i="5"/>
  <c r="AR427" i="5"/>
  <c r="AR166" i="5"/>
  <c r="AQ166" i="5"/>
  <c r="AR113" i="5"/>
  <c r="AQ113" i="5"/>
  <c r="AR334" i="5"/>
  <c r="AQ334" i="5"/>
  <c r="AR479" i="5"/>
  <c r="AQ479" i="5"/>
  <c r="AQ225" i="5"/>
  <c r="AR225" i="5"/>
  <c r="AR402" i="5"/>
  <c r="AQ402" i="5"/>
  <c r="AQ213" i="5"/>
  <c r="AR213" i="5"/>
  <c r="AS226" i="5"/>
  <c r="AS44" i="5"/>
  <c r="AS377" i="5"/>
  <c r="AS305" i="5"/>
  <c r="AS327" i="5"/>
  <c r="AS91" i="5"/>
  <c r="AS259" i="5"/>
  <c r="AS495" i="5"/>
  <c r="AS48" i="5"/>
  <c r="AS276" i="5"/>
  <c r="AS365" i="5"/>
  <c r="AS104" i="5"/>
  <c r="AS70" i="5"/>
  <c r="AS168" i="5"/>
  <c r="AS395" i="5"/>
  <c r="AS43" i="5"/>
  <c r="AS143" i="5"/>
  <c r="AS485" i="5"/>
  <c r="AS269" i="5"/>
  <c r="AS399" i="5"/>
  <c r="AS335" i="5"/>
  <c r="AS544" i="5"/>
  <c r="AS356" i="5"/>
  <c r="AS307" i="5"/>
  <c r="AS252" i="5"/>
  <c r="AS390" i="5"/>
  <c r="AS463" i="5"/>
  <c r="AS227" i="5"/>
  <c r="AS298" i="5"/>
  <c r="AS112" i="5"/>
  <c r="AS135" i="5"/>
  <c r="AS450" i="5"/>
  <c r="AS512" i="5"/>
  <c r="AS209" i="5"/>
  <c r="AS515" i="5"/>
  <c r="AS336" i="5"/>
  <c r="AS141" i="5"/>
  <c r="AS188" i="5"/>
  <c r="AS484" i="5"/>
  <c r="AS287" i="5"/>
  <c r="AS77" i="5"/>
  <c r="AS83" i="5"/>
  <c r="AS145" i="5"/>
  <c r="AS231" i="5"/>
  <c r="AS330" i="5"/>
  <c r="AS522" i="5"/>
  <c r="AS132" i="5"/>
  <c r="AS556" i="5"/>
  <c r="AS521" i="5"/>
  <c r="AS526" i="5"/>
  <c r="AS134" i="5"/>
  <c r="AS201" i="5"/>
  <c r="AS95" i="5"/>
  <c r="AS422" i="5"/>
  <c r="AS256" i="5"/>
  <c r="AS88" i="5"/>
  <c r="AS79" i="5"/>
  <c r="AS303" i="5"/>
  <c r="AS61" i="5"/>
  <c r="AS337" i="5"/>
  <c r="AS176" i="5"/>
  <c r="AS412" i="5"/>
  <c r="AS386" i="5"/>
  <c r="AS357" i="5"/>
  <c r="AS213" i="5"/>
  <c r="AS65" i="5"/>
  <c r="AS527" i="5"/>
  <c r="AS510" i="5"/>
  <c r="Z32" i="4"/>
  <c r="AN32" i="4" s="1"/>
  <c r="Z85" i="4"/>
  <c r="AN85" i="4" s="1"/>
  <c r="X10" i="5"/>
  <c r="Y10" i="5"/>
  <c r="AE132" i="4"/>
  <c r="AE135" i="4"/>
  <c r="Z60" i="4"/>
  <c r="AK170" i="5"/>
  <c r="AL170" i="5"/>
  <c r="AL295" i="5"/>
  <c r="AK295" i="5"/>
  <c r="AL162" i="5"/>
  <c r="AK162" i="5"/>
  <c r="AL378" i="5"/>
  <c r="AK378" i="5"/>
  <c r="AL171" i="5"/>
  <c r="AK171" i="5"/>
  <c r="AL520" i="5"/>
  <c r="AK520" i="5"/>
  <c r="AL230" i="5"/>
  <c r="AK230" i="5"/>
  <c r="AL334" i="5"/>
  <c r="AK334" i="5"/>
  <c r="AK124" i="5"/>
  <c r="AL124" i="5"/>
  <c r="AL167" i="5"/>
  <c r="AK167" i="5"/>
  <c r="AL258" i="5"/>
  <c r="AK258" i="5"/>
  <c r="AK97" i="5"/>
  <c r="AL97" i="5"/>
  <c r="AL536" i="5"/>
  <c r="AK536" i="5"/>
  <c r="AK217" i="5"/>
  <c r="AL217" i="5"/>
  <c r="AL374" i="5"/>
  <c r="AK374" i="5"/>
  <c r="AL550" i="5"/>
  <c r="AK550" i="5"/>
  <c r="AL286" i="5"/>
  <c r="AK286" i="5"/>
  <c r="AK320" i="5"/>
  <c r="AL320" i="5"/>
  <c r="AK165" i="5"/>
  <c r="AL165" i="5"/>
  <c r="AK321" i="5"/>
  <c r="AL321" i="5"/>
  <c r="AL447" i="5"/>
  <c r="AK447" i="5"/>
  <c r="AL426" i="5"/>
  <c r="AK426" i="5"/>
  <c r="AK401" i="5"/>
  <c r="AL401" i="5"/>
  <c r="AL368" i="5"/>
  <c r="AK368" i="5"/>
  <c r="AL69" i="5"/>
  <c r="AK69" i="5"/>
  <c r="AL61" i="5"/>
  <c r="AK61" i="5"/>
  <c r="AK261" i="5"/>
  <c r="AL261" i="5"/>
  <c r="AK34" i="5"/>
  <c r="AL34" i="5"/>
  <c r="AL440" i="5"/>
  <c r="AK440" i="5"/>
  <c r="AK47" i="5"/>
  <c r="AL47" i="5"/>
  <c r="AK309" i="5"/>
  <c r="AL309" i="5"/>
  <c r="AL121" i="5"/>
  <c r="AK121" i="5"/>
  <c r="AL128" i="5"/>
  <c r="AK128" i="5"/>
  <c r="AK219" i="5"/>
  <c r="AL219" i="5"/>
  <c r="AL466" i="5"/>
  <c r="AK466" i="5"/>
  <c r="AL419" i="5"/>
  <c r="AK419" i="5"/>
  <c r="AL149" i="5"/>
  <c r="AK149" i="5"/>
  <c r="AL486" i="5"/>
  <c r="AK486" i="5"/>
  <c r="AK299" i="5"/>
  <c r="AL299" i="5"/>
  <c r="AL542" i="5"/>
  <c r="AK542" i="5"/>
  <c r="AL531" i="5"/>
  <c r="AK531" i="5"/>
  <c r="AL540" i="5"/>
  <c r="AK540" i="5"/>
  <c r="AL403" i="5"/>
  <c r="AK403" i="5"/>
  <c r="AL36" i="5"/>
  <c r="AK36" i="5"/>
  <c r="AL510" i="5"/>
  <c r="AK510" i="5"/>
  <c r="AK7" i="5"/>
  <c r="AL7" i="5"/>
  <c r="AL391" i="5"/>
  <c r="AK391" i="5"/>
  <c r="AL424" i="5"/>
  <c r="AK424" i="5"/>
  <c r="AL503" i="5"/>
  <c r="AK503" i="5"/>
  <c r="AK521" i="5"/>
  <c r="AL521" i="5"/>
  <c r="AK120" i="5"/>
  <c r="AL120" i="5"/>
  <c r="AK438" i="5"/>
  <c r="AL438" i="5"/>
  <c r="AL51" i="5"/>
  <c r="AK51" i="5"/>
  <c r="AK313" i="5"/>
  <c r="AL313" i="5"/>
  <c r="AL192" i="5"/>
  <c r="AK192" i="5"/>
  <c r="AK220" i="5"/>
  <c r="AL220" i="5"/>
  <c r="AK296" i="5"/>
  <c r="AL296" i="5"/>
  <c r="AL462" i="5"/>
  <c r="AK462" i="5"/>
  <c r="AL301" i="5"/>
  <c r="AK301" i="5"/>
  <c r="AL476" i="5"/>
  <c r="AK476" i="5"/>
  <c r="AL244" i="5"/>
  <c r="AK244" i="5"/>
  <c r="AK331" i="5"/>
  <c r="AL331" i="5"/>
  <c r="AL441" i="5"/>
  <c r="AK441" i="5"/>
  <c r="AL416" i="5"/>
  <c r="AK416" i="5"/>
  <c r="AK350" i="5"/>
  <c r="AL350" i="5"/>
  <c r="AL94" i="5"/>
  <c r="AK94" i="5"/>
  <c r="AL248" i="5"/>
  <c r="AK248" i="5"/>
  <c r="AK73" i="5"/>
  <c r="AL73" i="5"/>
  <c r="Z146" i="4" l="1"/>
  <c r="AN146" i="4" s="1"/>
  <c r="AE146" i="4"/>
  <c r="Z53" i="4"/>
  <c r="AN53" i="4" s="1"/>
  <c r="X99" i="4"/>
  <c r="AF98" i="5"/>
  <c r="AF504" i="5"/>
  <c r="AF196" i="5"/>
  <c r="Z99" i="4"/>
  <c r="AN99" i="4" s="1"/>
  <c r="AF515" i="5"/>
  <c r="BI515" i="5" s="1"/>
  <c r="AF104" i="5"/>
  <c r="AH104" i="5" s="1"/>
  <c r="AF112" i="5"/>
  <c r="AG112" i="5" s="1"/>
  <c r="AF22" i="5"/>
  <c r="AF168" i="5"/>
  <c r="AF163" i="5"/>
  <c r="AF135" i="5"/>
  <c r="AH135" i="5" s="1"/>
  <c r="AF540" i="5"/>
  <c r="AF314" i="5"/>
  <c r="AG314" i="5" s="1"/>
  <c r="AF416" i="5"/>
  <c r="AH416" i="5" s="1"/>
  <c r="AF357" i="5"/>
  <c r="AG357" i="5" s="1"/>
  <c r="AF220" i="5"/>
  <c r="AG220" i="5" s="1"/>
  <c r="AF263" i="5"/>
  <c r="AH263" i="5" s="1"/>
  <c r="AF377" i="5"/>
  <c r="AF96" i="5"/>
  <c r="AG96" i="5" s="1"/>
  <c r="Z83" i="4"/>
  <c r="AN83" i="4" s="1"/>
  <c r="AF449" i="5"/>
  <c r="BI449" i="5" s="1"/>
  <c r="AF233" i="5"/>
  <c r="AH233" i="5" s="1"/>
  <c r="AF56" i="5"/>
  <c r="AG56" i="5" s="1"/>
  <c r="AF374" i="5"/>
  <c r="AG374" i="5" s="1"/>
  <c r="AF400" i="5"/>
  <c r="AG400" i="5" s="1"/>
  <c r="AF343" i="5"/>
  <c r="AH343" i="5" s="1"/>
  <c r="AF502" i="5"/>
  <c r="AH502" i="5" s="1"/>
  <c r="AF180" i="5"/>
  <c r="AH180" i="5" s="1"/>
  <c r="AE45" i="4"/>
  <c r="Z98" i="4"/>
  <c r="X98" i="4" s="1"/>
  <c r="AJ98" i="4" s="1"/>
  <c r="AE98" i="4"/>
  <c r="AE99" i="4"/>
  <c r="AF83" i="5"/>
  <c r="AF496" i="5"/>
  <c r="AG496" i="5" s="1"/>
  <c r="AF448" i="5"/>
  <c r="BI448" i="5" s="1"/>
  <c r="AF349" i="5"/>
  <c r="BI349" i="5" s="1"/>
  <c r="AF422" i="5"/>
  <c r="AG422" i="5" s="1"/>
  <c r="AF516" i="5"/>
  <c r="AF82" i="5"/>
  <c r="AG82" i="5" s="1"/>
  <c r="AF106" i="5"/>
  <c r="AF423" i="5"/>
  <c r="BI423" i="5" s="1"/>
  <c r="AF173" i="5"/>
  <c r="AG173" i="5" s="1"/>
  <c r="AF103" i="5"/>
  <c r="BI103" i="5" s="1"/>
  <c r="AF410" i="5"/>
  <c r="AH410" i="5" s="1"/>
  <c r="AF161" i="5"/>
  <c r="AG161" i="5" s="1"/>
  <c r="AF231" i="5"/>
  <c r="AH231" i="5" s="1"/>
  <c r="AF525" i="5"/>
  <c r="AH525" i="5" s="1"/>
  <c r="AF185" i="5"/>
  <c r="AG185" i="5" s="1"/>
  <c r="AF554" i="5"/>
  <c r="AG554" i="5" s="1"/>
  <c r="AF469" i="5"/>
  <c r="AH469" i="5" s="1"/>
  <c r="AF109" i="5"/>
  <c r="AG109" i="5" s="1"/>
  <c r="AF322" i="5"/>
  <c r="AG322" i="5" s="1"/>
  <c r="AF535" i="5"/>
  <c r="AH535" i="5" s="1"/>
  <c r="AF71" i="5"/>
  <c r="AH71" i="5" s="1"/>
  <c r="AF373" i="5"/>
  <c r="AH373" i="5" s="1"/>
  <c r="AF85" i="5"/>
  <c r="AH85" i="5" s="1"/>
  <c r="AF362" i="5"/>
  <c r="AG362" i="5" s="1"/>
  <c r="AF46" i="5"/>
  <c r="BI46" i="5" s="1"/>
  <c r="AF149" i="5"/>
  <c r="AG149" i="5" s="1"/>
  <c r="AF192" i="5"/>
  <c r="BI192" i="5" s="1"/>
  <c r="AF484" i="5"/>
  <c r="AH484" i="5" s="1"/>
  <c r="AF305" i="5"/>
  <c r="AG305" i="5" s="1"/>
  <c r="AF456" i="5"/>
  <c r="AH456" i="5" s="1"/>
  <c r="AF368" i="5"/>
  <c r="BI368" i="5" s="1"/>
  <c r="AF517" i="5"/>
  <c r="AG517" i="5" s="1"/>
  <c r="Z102" i="4"/>
  <c r="AN102" i="4" s="1"/>
  <c r="Z132" i="4"/>
  <c r="AN132" i="4" s="1"/>
  <c r="AE83" i="4"/>
  <c r="AE29" i="4"/>
  <c r="AE150" i="4"/>
  <c r="X130" i="4"/>
  <c r="AA130" i="4" s="1"/>
  <c r="AC130" i="4" s="1"/>
  <c r="AD130" i="4" s="1"/>
  <c r="Z150" i="4"/>
  <c r="AN150" i="4" s="1"/>
  <c r="Z29" i="4"/>
  <c r="AN29" i="4" s="1"/>
  <c r="Z50" i="4"/>
  <c r="AN50" i="4" s="1"/>
  <c r="AE50" i="4"/>
  <c r="AF225" i="5"/>
  <c r="AH225" i="5" s="1"/>
  <c r="AF239" i="5"/>
  <c r="AG239" i="5" s="1"/>
  <c r="AF273" i="5"/>
  <c r="AH273" i="5" s="1"/>
  <c r="AF47" i="5"/>
  <c r="AH47" i="5" s="1"/>
  <c r="AF143" i="5"/>
  <c r="AH143" i="5" s="1"/>
  <c r="Z156" i="4"/>
  <c r="AN156" i="4" s="1"/>
  <c r="Z80" i="4"/>
  <c r="AN80" i="4" s="1"/>
  <c r="AE14" i="4"/>
  <c r="Z14" i="4"/>
  <c r="AN14" i="4" s="1"/>
  <c r="AE69" i="4"/>
  <c r="Z57" i="4"/>
  <c r="AN57" i="4" s="1"/>
  <c r="AF274" i="5"/>
  <c r="AG274" i="5" s="1"/>
  <c r="AE102" i="4"/>
  <c r="Z69" i="4"/>
  <c r="AN69" i="4" s="1"/>
  <c r="AE156" i="4"/>
  <c r="AE138" i="4"/>
  <c r="AE143" i="4"/>
  <c r="Z39" i="4"/>
  <c r="AN39" i="4" s="1"/>
  <c r="Z138" i="4"/>
  <c r="AF138" i="4" s="1"/>
  <c r="AG138" i="4" s="1"/>
  <c r="AI138" i="4" s="1"/>
  <c r="Z134" i="4"/>
  <c r="X134" i="4" s="1"/>
  <c r="AJ134" i="4" s="1"/>
  <c r="Z91" i="4"/>
  <c r="X91" i="4" s="1"/>
  <c r="AK91" i="4" s="1"/>
  <c r="AL91" i="4" s="1"/>
  <c r="AE134" i="4"/>
  <c r="Z71" i="4"/>
  <c r="X71" i="4" s="1"/>
  <c r="AJ71" i="4" s="1"/>
  <c r="Z52" i="4"/>
  <c r="AN52" i="4" s="1"/>
  <c r="AE126" i="4"/>
  <c r="AE52" i="4"/>
  <c r="AE39" i="4"/>
  <c r="AE154" i="4"/>
  <c r="AE145" i="4"/>
  <c r="Z154" i="4"/>
  <c r="AN154" i="4" s="1"/>
  <c r="AE114" i="4"/>
  <c r="Z119" i="4"/>
  <c r="AN119" i="4" s="1"/>
  <c r="Z114" i="4"/>
  <c r="AN114" i="4" s="1"/>
  <c r="Z145" i="4"/>
  <c r="AN145" i="4" s="1"/>
  <c r="AE57" i="4"/>
  <c r="Z81" i="4"/>
  <c r="AN81" i="4" s="1"/>
  <c r="AF74" i="5"/>
  <c r="AH74" i="5" s="1"/>
  <c r="AF197" i="5"/>
  <c r="AH197" i="5" s="1"/>
  <c r="AF292" i="5"/>
  <c r="AG292" i="5" s="1"/>
  <c r="AF381" i="5"/>
  <c r="AH381" i="5" s="1"/>
  <c r="AF308" i="5"/>
  <c r="AH308" i="5" s="1"/>
  <c r="AF132" i="5"/>
  <c r="AH132" i="5" s="1"/>
  <c r="AF419" i="5"/>
  <c r="AG419" i="5" s="1"/>
  <c r="AF124" i="5"/>
  <c r="AH124" i="5" s="1"/>
  <c r="AF224" i="5"/>
  <c r="AG224" i="5" s="1"/>
  <c r="AF257" i="5"/>
  <c r="BI257" i="5" s="1"/>
  <c r="AF435" i="5"/>
  <c r="AG435" i="5" s="1"/>
  <c r="AF547" i="5"/>
  <c r="AG547" i="5" s="1"/>
  <c r="AF505" i="5"/>
  <c r="BI505" i="5" s="1"/>
  <c r="AF557" i="5"/>
  <c r="AG557" i="5" s="1"/>
  <c r="AF325" i="5"/>
  <c r="AH325" i="5" s="1"/>
  <c r="AF392" i="5"/>
  <c r="AH392" i="5" s="1"/>
  <c r="AF405" i="5"/>
  <c r="AG405" i="5" s="1"/>
  <c r="AF119" i="5"/>
  <c r="AG119" i="5" s="1"/>
  <c r="AF25" i="5"/>
  <c r="AH25" i="5" s="1"/>
  <c r="AF526" i="5"/>
  <c r="AH526" i="5" s="1"/>
  <c r="AF523" i="5"/>
  <c r="AH523" i="5" s="1"/>
  <c r="AF252" i="5"/>
  <c r="AH252" i="5" s="1"/>
  <c r="AF365" i="5"/>
  <c r="AG365" i="5" s="1"/>
  <c r="AF223" i="5"/>
  <c r="AH223" i="5" s="1"/>
  <c r="AF531" i="5"/>
  <c r="AG531" i="5" s="1"/>
  <c r="AF536" i="5"/>
  <c r="AG536" i="5" s="1"/>
  <c r="AF210" i="5"/>
  <c r="BI210" i="5" s="1"/>
  <c r="AF397" i="5"/>
  <c r="AG397" i="5" s="1"/>
  <c r="AF113" i="5"/>
  <c r="AH113" i="5" s="1"/>
  <c r="Z112" i="4"/>
  <c r="AN112" i="4" s="1"/>
  <c r="Z64" i="4"/>
  <c r="AN64" i="4" s="1"/>
  <c r="AF480" i="5"/>
  <c r="AH480" i="5" s="1"/>
  <c r="AF110" i="5"/>
  <c r="AG110" i="5" s="1"/>
  <c r="AF141" i="5"/>
  <c r="AH141" i="5" s="1"/>
  <c r="AF389" i="5"/>
  <c r="AG389" i="5" s="1"/>
  <c r="AF111" i="5"/>
  <c r="AG111" i="5" s="1"/>
  <c r="AF266" i="5"/>
  <c r="AG266" i="5" s="1"/>
  <c r="AF78" i="5"/>
  <c r="BI78" i="5" s="1"/>
  <c r="AF287" i="5"/>
  <c r="AH287" i="5" s="1"/>
  <c r="AF206" i="5"/>
  <c r="AG206" i="5" s="1"/>
  <c r="AF383" i="5"/>
  <c r="BI383" i="5" s="1"/>
  <c r="AF45" i="5"/>
  <c r="BI45" i="5" s="1"/>
  <c r="AF304" i="5"/>
  <c r="BI304" i="5" s="1"/>
  <c r="AF94" i="5"/>
  <c r="AG94" i="5" s="1"/>
  <c r="AF294" i="5"/>
  <c r="AG294" i="5" s="1"/>
  <c r="Z126" i="4"/>
  <c r="AN126" i="4" s="1"/>
  <c r="AE64" i="4"/>
  <c r="AF283" i="5"/>
  <c r="AG283" i="5" s="1"/>
  <c r="AF57" i="5"/>
  <c r="AH57" i="5" s="1"/>
  <c r="AF28" i="5"/>
  <c r="AG28" i="5" s="1"/>
  <c r="AF417" i="5"/>
  <c r="AH417" i="5" s="1"/>
  <c r="AF29" i="5"/>
  <c r="AH29" i="5" s="1"/>
  <c r="AF211" i="5"/>
  <c r="AG211" i="5" s="1"/>
  <c r="AF396" i="5"/>
  <c r="BI396" i="5" s="1"/>
  <c r="AF510" i="5"/>
  <c r="AH510" i="5" s="1"/>
  <c r="AF207" i="5"/>
  <c r="BI207" i="5" s="1"/>
  <c r="AF340" i="5"/>
  <c r="AG340" i="5" s="1"/>
  <c r="AF370" i="5"/>
  <c r="AH370" i="5" s="1"/>
  <c r="AF276" i="5"/>
  <c r="AG276" i="5" s="1"/>
  <c r="AF514" i="5"/>
  <c r="AG514" i="5" s="1"/>
  <c r="AF426" i="5"/>
  <c r="AG426" i="5" s="1"/>
  <c r="AF205" i="5"/>
  <c r="AH205" i="5" s="1"/>
  <c r="AF380" i="5"/>
  <c r="AG380" i="5" s="1"/>
  <c r="AF120" i="5"/>
  <c r="BI120" i="5" s="1"/>
  <c r="AE112" i="4"/>
  <c r="AF406" i="5"/>
  <c r="AG406" i="5" s="1"/>
  <c r="AF126" i="5"/>
  <c r="AH126" i="5" s="1"/>
  <c r="AF30" i="5"/>
  <c r="AH30" i="5" s="1"/>
  <c r="AF191" i="5"/>
  <c r="BI191" i="5" s="1"/>
  <c r="AF552" i="5"/>
  <c r="AG552" i="5" s="1"/>
  <c r="AF390" i="5"/>
  <c r="AG390" i="5" s="1"/>
  <c r="AF216" i="5"/>
  <c r="AH216" i="5" s="1"/>
  <c r="AF328" i="5"/>
  <c r="AH328" i="5" s="1"/>
  <c r="AF446" i="5"/>
  <c r="AG446" i="5" s="1"/>
  <c r="AF379" i="5"/>
  <c r="AH379" i="5" s="1"/>
  <c r="AF447" i="5"/>
  <c r="AG447" i="5" s="1"/>
  <c r="AF21" i="5"/>
  <c r="AG21" i="5" s="1"/>
  <c r="AF331" i="5"/>
  <c r="AH331" i="5" s="1"/>
  <c r="AF512" i="5"/>
  <c r="AH512" i="5" s="1"/>
  <c r="AF491" i="5"/>
  <c r="AH491" i="5" s="1"/>
  <c r="AF251" i="5"/>
  <c r="AG251" i="5" s="1"/>
  <c r="AF107" i="5"/>
  <c r="AH107" i="5" s="1"/>
  <c r="AF408" i="5"/>
  <c r="AH408" i="5" s="1"/>
  <c r="AF160" i="5"/>
  <c r="AH160" i="5" s="1"/>
  <c r="AF498" i="5"/>
  <c r="AH498" i="5" s="1"/>
  <c r="AF511" i="5"/>
  <c r="AG511" i="5" s="1"/>
  <c r="AF485" i="5"/>
  <c r="AH485" i="5" s="1"/>
  <c r="AF329" i="5"/>
  <c r="AH329" i="5" s="1"/>
  <c r="AF499" i="5"/>
  <c r="AH499" i="5" s="1"/>
  <c r="AF32" i="5"/>
  <c r="AG32" i="5" s="1"/>
  <c r="AF348" i="5"/>
  <c r="BI348" i="5" s="1"/>
  <c r="AO9" i="5"/>
  <c r="AE91" i="4"/>
  <c r="AF363" i="5"/>
  <c r="AH363" i="5" s="1"/>
  <c r="AF453" i="5"/>
  <c r="AG453" i="5" s="1"/>
  <c r="AF541" i="5"/>
  <c r="BI541" i="5" s="1"/>
  <c r="AF232" i="5"/>
  <c r="AH232" i="5" s="1"/>
  <c r="AE100" i="4"/>
  <c r="Z100" i="4"/>
  <c r="AN100" i="4" s="1"/>
  <c r="AF129" i="5"/>
  <c r="AG129" i="5" s="1"/>
  <c r="AF364" i="5"/>
  <c r="AG364" i="5" s="1"/>
  <c r="AF9" i="5"/>
  <c r="AG9" i="5" s="1"/>
  <c r="AF54" i="5"/>
  <c r="AG54" i="5" s="1"/>
  <c r="AF277" i="5"/>
  <c r="AH277" i="5" s="1"/>
  <c r="AF227" i="5"/>
  <c r="AH227" i="5" s="1"/>
  <c r="AF501" i="5"/>
  <c r="AH501" i="5" s="1"/>
  <c r="AF261" i="5"/>
  <c r="AG261" i="5" s="1"/>
  <c r="AF298" i="5"/>
  <c r="AG298" i="5" s="1"/>
  <c r="AF214" i="5"/>
  <c r="AH214" i="5" s="1"/>
  <c r="AF344" i="5"/>
  <c r="AH344" i="5" s="1"/>
  <c r="AF39" i="5"/>
  <c r="AH39" i="5" s="1"/>
  <c r="AF125" i="5"/>
  <c r="AG125" i="5" s="1"/>
  <c r="AF372" i="5"/>
  <c r="AH372" i="5" s="1"/>
  <c r="AF545" i="5"/>
  <c r="AH545" i="5" s="1"/>
  <c r="Z86" i="4"/>
  <c r="AN86" i="4" s="1"/>
  <c r="AF194" i="5"/>
  <c r="AH194" i="5" s="1"/>
  <c r="AF403" i="5"/>
  <c r="AH403" i="5" s="1"/>
  <c r="AF452" i="5"/>
  <c r="AG452" i="5" s="1"/>
  <c r="AF320" i="5"/>
  <c r="AG320" i="5" s="1"/>
  <c r="AF19" i="5"/>
  <c r="BI19" i="5" s="1"/>
  <c r="Z75" i="4"/>
  <c r="AN75" i="4" s="1"/>
  <c r="AE75" i="4"/>
  <c r="AF440" i="5"/>
  <c r="AH440" i="5" s="1"/>
  <c r="Z73" i="4"/>
  <c r="AN73" i="4" s="1"/>
  <c r="AE66" i="4"/>
  <c r="AF459" i="5"/>
  <c r="AG459" i="5" s="1"/>
  <c r="AF38" i="5"/>
  <c r="BI38" i="5" s="1"/>
  <c r="AF234" i="5"/>
  <c r="AH234" i="5" s="1"/>
  <c r="AF543" i="5"/>
  <c r="AG543" i="5" s="1"/>
  <c r="AF189" i="5"/>
  <c r="AG189" i="5" s="1"/>
  <c r="AF258" i="5"/>
  <c r="AH258" i="5" s="1"/>
  <c r="AF461" i="5"/>
  <c r="AH461" i="5" s="1"/>
  <c r="AF175" i="5"/>
  <c r="AG175" i="5" s="1"/>
  <c r="AF118" i="5"/>
  <c r="AH118" i="5" s="1"/>
  <c r="AF127" i="5"/>
  <c r="BI127" i="5" s="1"/>
  <c r="AF114" i="5"/>
  <c r="BI114" i="5" s="1"/>
  <c r="AF146" i="5"/>
  <c r="AG146" i="5" s="1"/>
  <c r="AF99" i="5"/>
  <c r="AH99" i="5" s="1"/>
  <c r="AF309" i="5"/>
  <c r="BI309" i="5" s="1"/>
  <c r="AF358" i="5"/>
  <c r="AG358" i="5" s="1"/>
  <c r="AF272" i="5"/>
  <c r="AH272" i="5" s="1"/>
  <c r="AF92" i="5"/>
  <c r="AG92" i="5" s="1"/>
  <c r="AF460" i="5"/>
  <c r="BI460" i="5" s="1"/>
  <c r="AF391" i="5"/>
  <c r="AH391" i="5" s="1"/>
  <c r="AF401" i="5"/>
  <c r="AH401" i="5" s="1"/>
  <c r="AF280" i="5"/>
  <c r="AG280" i="5" s="1"/>
  <c r="AF24" i="5"/>
  <c r="BI24" i="5" s="1"/>
  <c r="AF195" i="5"/>
  <c r="AG195" i="5" s="1"/>
  <c r="AF247" i="5"/>
  <c r="AH247" i="5" s="1"/>
  <c r="AF470" i="5"/>
  <c r="AG470" i="5" s="1"/>
  <c r="AF528" i="5"/>
  <c r="AG528" i="5" s="1"/>
  <c r="AF509" i="5"/>
  <c r="AH509" i="5" s="1"/>
  <c r="AF172" i="5"/>
  <c r="BI172" i="5" s="1"/>
  <c r="AF560" i="5"/>
  <c r="AH560" i="5" s="1"/>
  <c r="AF153" i="5"/>
  <c r="AH153" i="5" s="1"/>
  <c r="AF255" i="5"/>
  <c r="AG255" i="5" s="1"/>
  <c r="AF10" i="5"/>
  <c r="AG10" i="5" s="1"/>
  <c r="Z92" i="4"/>
  <c r="AN92" i="4" s="1"/>
  <c r="AE92" i="4"/>
  <c r="AF8" i="5"/>
  <c r="BI8" i="5" s="1"/>
  <c r="AD11" i="5"/>
  <c r="AE11" i="5"/>
  <c r="AF12" i="5"/>
  <c r="AH12" i="5" s="1"/>
  <c r="AF13" i="5"/>
  <c r="AG13" i="5" s="1"/>
  <c r="AD9" i="5"/>
  <c r="AE9" i="5"/>
  <c r="Z143" i="4"/>
  <c r="AN143" i="4" s="1"/>
  <c r="Z12" i="4"/>
  <c r="AN12" i="4" s="1"/>
  <c r="AF462" i="5"/>
  <c r="AG462" i="5" s="1"/>
  <c r="AF40" i="5"/>
  <c r="AG40" i="5" s="1"/>
  <c r="AF432" i="5"/>
  <c r="BI432" i="5" s="1"/>
  <c r="AF164" i="5"/>
  <c r="AH164" i="5" s="1"/>
  <c r="AF84" i="5"/>
  <c r="BI84" i="5" s="1"/>
  <c r="AF156" i="5"/>
  <c r="AG156" i="5" s="1"/>
  <c r="AF117" i="5"/>
  <c r="AH117" i="5" s="1"/>
  <c r="AF433" i="5"/>
  <c r="AG433" i="5" s="1"/>
  <c r="AF471" i="5"/>
  <c r="AG471" i="5" s="1"/>
  <c r="AF203" i="5"/>
  <c r="AH203" i="5" s="1"/>
  <c r="AF184" i="5"/>
  <c r="AG184" i="5" s="1"/>
  <c r="AF312" i="5"/>
  <c r="AG312" i="5" s="1"/>
  <c r="AF229" i="5"/>
  <c r="AH229" i="5" s="1"/>
  <c r="AF97" i="5"/>
  <c r="AG97" i="5" s="1"/>
  <c r="AF186" i="5"/>
  <c r="AG186" i="5" s="1"/>
  <c r="AF67" i="5"/>
  <c r="AG67" i="5" s="1"/>
  <c r="AF394" i="5"/>
  <c r="AH394" i="5" s="1"/>
  <c r="AF551" i="5"/>
  <c r="BI551" i="5" s="1"/>
  <c r="AF411" i="5"/>
  <c r="BI411" i="5" s="1"/>
  <c r="AF281" i="5"/>
  <c r="AG281" i="5" s="1"/>
  <c r="AF151" i="5"/>
  <c r="AH151" i="5" s="1"/>
  <c r="Z61" i="4"/>
  <c r="AN61" i="4" s="1"/>
  <c r="AE94" i="4"/>
  <c r="AE79" i="4"/>
  <c r="Z74" i="4"/>
  <c r="X74" i="4" s="1"/>
  <c r="AK74" i="4" s="1"/>
  <c r="AL74" i="4" s="1"/>
  <c r="AE12" i="4"/>
  <c r="X94" i="4"/>
  <c r="AA94" i="4" s="1"/>
  <c r="AQ94" i="4" s="1"/>
  <c r="Z131" i="4"/>
  <c r="AN131" i="4" s="1"/>
  <c r="AE74" i="4"/>
  <c r="Z130" i="4"/>
  <c r="AN130" i="4" s="1"/>
  <c r="AE130" i="4"/>
  <c r="AE131" i="4"/>
  <c r="AE103" i="4"/>
  <c r="Z94" i="4"/>
  <c r="AN94" i="4" s="1"/>
  <c r="Z95" i="4"/>
  <c r="AN95" i="4" s="1"/>
  <c r="AE70" i="4"/>
  <c r="Z66" i="4"/>
  <c r="AN66" i="4" s="1"/>
  <c r="AE119" i="4"/>
  <c r="AE73" i="4"/>
  <c r="Z22" i="4"/>
  <c r="X22" i="4" s="1"/>
  <c r="AJ22" i="4" s="1"/>
  <c r="AE61" i="4"/>
  <c r="Z121" i="4"/>
  <c r="AN121" i="4" s="1"/>
  <c r="Z59" i="4"/>
  <c r="X59" i="4" s="1"/>
  <c r="AA59" i="4" s="1"/>
  <c r="AC59" i="4" s="1"/>
  <c r="AD59" i="4" s="1"/>
  <c r="Z103" i="4"/>
  <c r="AN103" i="4" s="1"/>
  <c r="AE86" i="4"/>
  <c r="AE95" i="4"/>
  <c r="AE121" i="4"/>
  <c r="AF319" i="5"/>
  <c r="AH319" i="5" s="1"/>
  <c r="AF332" i="5"/>
  <c r="AH332" i="5" s="1"/>
  <c r="AF250" i="5"/>
  <c r="AG250" i="5" s="1"/>
  <c r="AF311" i="5"/>
  <c r="AG311" i="5" s="1"/>
  <c r="AF139" i="5"/>
  <c r="AH139" i="5" s="1"/>
  <c r="AF166" i="5"/>
  <c r="AH166" i="5" s="1"/>
  <c r="AF549" i="5"/>
  <c r="AG549" i="5" s="1"/>
  <c r="AF182" i="5"/>
  <c r="BI182" i="5" s="1"/>
  <c r="AF450" i="5"/>
  <c r="AH450" i="5" s="1"/>
  <c r="AF542" i="5"/>
  <c r="BI542" i="5" s="1"/>
  <c r="Z7" i="4"/>
  <c r="AN7" i="4" s="1"/>
  <c r="Z70" i="4"/>
  <c r="AN70" i="4" s="1"/>
  <c r="AE7" i="4"/>
  <c r="AF555" i="5"/>
  <c r="AG555" i="5" s="1"/>
  <c r="AF454" i="5"/>
  <c r="AH454" i="5" s="1"/>
  <c r="AF123" i="5"/>
  <c r="AG123" i="5" s="1"/>
  <c r="AF49" i="5"/>
  <c r="AH49" i="5" s="1"/>
  <c r="AF183" i="5"/>
  <c r="AH183" i="5" s="1"/>
  <c r="AF190" i="5"/>
  <c r="AH190" i="5" s="1"/>
  <c r="AF299" i="5"/>
  <c r="AH299" i="5" s="1"/>
  <c r="AF430" i="5"/>
  <c r="AH430" i="5" s="1"/>
  <c r="AF188" i="5"/>
  <c r="BI188" i="5" s="1"/>
  <c r="AF44" i="5"/>
  <c r="AG44" i="5" s="1"/>
  <c r="AF522" i="5"/>
  <c r="BI522" i="5" s="1"/>
  <c r="AF20" i="5"/>
  <c r="BI20" i="5" s="1"/>
  <c r="AF55" i="5"/>
  <c r="AH55" i="5" s="1"/>
  <c r="AF407" i="5"/>
  <c r="AG407" i="5" s="1"/>
  <c r="AF307" i="5"/>
  <c r="AH307" i="5" s="1"/>
  <c r="AF228" i="5"/>
  <c r="AH228" i="5" s="1"/>
  <c r="AF507" i="5"/>
  <c r="AG507" i="5" s="1"/>
  <c r="AF290" i="5"/>
  <c r="AG290" i="5" s="1"/>
  <c r="AF177" i="5"/>
  <c r="AG177" i="5" s="1"/>
  <c r="AF546" i="5"/>
  <c r="AG546" i="5" s="1"/>
  <c r="AF79" i="5"/>
  <c r="AH79" i="5" s="1"/>
  <c r="AF275" i="5"/>
  <c r="AH275" i="5" s="1"/>
  <c r="AF240" i="5"/>
  <c r="BI240" i="5" s="1"/>
  <c r="AF295" i="5"/>
  <c r="AH295" i="5" s="1"/>
  <c r="AF230" i="5"/>
  <c r="AG230" i="5" s="1"/>
  <c r="Z87" i="4"/>
  <c r="AN87" i="4" s="1"/>
  <c r="AF59" i="5"/>
  <c r="AH59" i="5" s="1"/>
  <c r="AF466" i="5"/>
  <c r="AG466" i="5" s="1"/>
  <c r="AF437" i="5"/>
  <c r="AG437" i="5" s="1"/>
  <c r="AF70" i="5"/>
  <c r="AG70" i="5" s="1"/>
  <c r="AF181" i="5"/>
  <c r="AH181" i="5" s="1"/>
  <c r="AF105" i="5"/>
  <c r="AG105" i="5" s="1"/>
  <c r="AF289" i="5"/>
  <c r="AH289" i="5" s="1"/>
  <c r="AF503" i="5"/>
  <c r="AH503" i="5" s="1"/>
  <c r="AF253" i="5"/>
  <c r="AG253" i="5" s="1"/>
  <c r="AF241" i="5"/>
  <c r="AG241" i="5" s="1"/>
  <c r="AF259" i="5"/>
  <c r="BI259" i="5" s="1"/>
  <c r="AF243" i="5"/>
  <c r="AG243" i="5" s="1"/>
  <c r="Z125" i="4"/>
  <c r="AN125" i="4" s="1"/>
  <c r="AF171" i="5"/>
  <c r="AH171" i="5" s="1"/>
  <c r="AF215" i="5"/>
  <c r="AG215" i="5" s="1"/>
  <c r="AF41" i="5"/>
  <c r="BI41" i="5" s="1"/>
  <c r="AF301" i="5"/>
  <c r="AH301" i="5" s="1"/>
  <c r="AF90" i="5"/>
  <c r="AH90" i="5" s="1"/>
  <c r="AF152" i="5"/>
  <c r="AG152" i="5" s="1"/>
  <c r="AF270" i="5"/>
  <c r="AH270" i="5" s="1"/>
  <c r="AF95" i="5"/>
  <c r="AG95" i="5" s="1"/>
  <c r="AF326" i="5"/>
  <c r="BI326" i="5" s="1"/>
  <c r="AF493" i="5"/>
  <c r="AH493" i="5" s="1"/>
  <c r="AF487" i="5"/>
  <c r="BI487" i="5" s="1"/>
  <c r="AE80" i="4"/>
  <c r="AF155" i="5"/>
  <c r="AH155" i="5" s="1"/>
  <c r="AF318" i="5"/>
  <c r="AG318" i="5" s="1"/>
  <c r="AF353" i="5"/>
  <c r="AG353" i="5" s="1"/>
  <c r="AF375" i="5"/>
  <c r="AG375" i="5" s="1"/>
  <c r="AF100" i="5"/>
  <c r="AH100" i="5" s="1"/>
  <c r="AF77" i="5"/>
  <c r="AH77" i="5" s="1"/>
  <c r="AF148" i="5"/>
  <c r="AG148" i="5" s="1"/>
  <c r="AF533" i="5"/>
  <c r="AH533" i="5" s="1"/>
  <c r="AF544" i="5"/>
  <c r="BI544" i="5" s="1"/>
  <c r="AF256" i="5"/>
  <c r="AH256" i="5" s="1"/>
  <c r="AF174" i="5"/>
  <c r="AG174" i="5" s="1"/>
  <c r="AF219" i="5"/>
  <c r="AH219" i="5" s="1"/>
  <c r="AF323" i="5"/>
  <c r="AG323" i="5" s="1"/>
  <c r="AF265" i="5"/>
  <c r="AH265" i="5" s="1"/>
  <c r="AF147" i="5"/>
  <c r="BI147" i="5" s="1"/>
  <c r="AF425" i="5"/>
  <c r="AH425" i="5" s="1"/>
  <c r="AE125" i="4"/>
  <c r="AF494" i="5"/>
  <c r="AH494" i="5" s="1"/>
  <c r="AF89" i="5"/>
  <c r="AG89" i="5" s="1"/>
  <c r="AF508" i="5"/>
  <c r="AG508" i="5" s="1"/>
  <c r="AF170" i="5"/>
  <c r="AG170" i="5" s="1"/>
  <c r="AF286" i="5"/>
  <c r="AG286" i="5" s="1"/>
  <c r="AF443" i="5"/>
  <c r="AH443" i="5" s="1"/>
  <c r="AF412" i="5"/>
  <c r="AG412" i="5" s="1"/>
  <c r="AF327" i="5"/>
  <c r="AH327" i="5" s="1"/>
  <c r="AF260" i="5"/>
  <c r="AH260" i="5" s="1"/>
  <c r="AF521" i="5"/>
  <c r="AH521" i="5" s="1"/>
  <c r="AE144" i="4"/>
  <c r="AF246" i="5"/>
  <c r="BI246" i="5" s="1"/>
  <c r="AF550" i="5"/>
  <c r="AG550" i="5" s="1"/>
  <c r="AF451" i="5"/>
  <c r="AG451" i="5" s="1"/>
  <c r="AF369" i="5"/>
  <c r="AG369" i="5" s="1"/>
  <c r="AF500" i="5"/>
  <c r="AG500" i="5" s="1"/>
  <c r="AF315" i="5"/>
  <c r="AG315" i="5" s="1"/>
  <c r="AF333" i="5"/>
  <c r="AH333" i="5" s="1"/>
  <c r="AF26" i="5"/>
  <c r="BI26" i="5" s="1"/>
  <c r="AF442" i="5"/>
  <c r="AG442" i="5" s="1"/>
  <c r="AF458" i="5"/>
  <c r="AH458" i="5" s="1"/>
  <c r="AF198" i="5"/>
  <c r="AH198" i="5" s="1"/>
  <c r="AF538" i="5"/>
  <c r="BI538" i="5" s="1"/>
  <c r="AF361" i="5"/>
  <c r="AG361" i="5" s="1"/>
  <c r="AF524" i="5"/>
  <c r="AH524" i="5" s="1"/>
  <c r="AF212" i="5"/>
  <c r="AG212" i="5" s="1"/>
  <c r="AF321" i="5"/>
  <c r="AG321" i="5" s="1"/>
  <c r="AF88" i="5"/>
  <c r="AG88" i="5" s="1"/>
  <c r="AF178" i="5"/>
  <c r="AH178" i="5" s="1"/>
  <c r="Z144" i="4"/>
  <c r="AN144" i="4" s="1"/>
  <c r="AF193" i="5"/>
  <c r="AG193" i="5" s="1"/>
  <c r="AF360" i="5"/>
  <c r="AH360" i="5" s="1"/>
  <c r="AF176" i="5"/>
  <c r="AH176" i="5" s="1"/>
  <c r="AF431" i="5"/>
  <c r="AH431" i="5" s="1"/>
  <c r="AF48" i="5"/>
  <c r="AG48" i="5" s="1"/>
  <c r="AF513" i="5"/>
  <c r="AG513" i="5" s="1"/>
  <c r="AF34" i="5"/>
  <c r="BI34" i="5" s="1"/>
  <c r="AF495" i="5"/>
  <c r="AG495" i="5" s="1"/>
  <c r="AF199" i="5"/>
  <c r="AG199" i="5" s="1"/>
  <c r="AF384" i="5"/>
  <c r="BI384" i="5" s="1"/>
  <c r="AF36" i="5"/>
  <c r="AF136" i="5"/>
  <c r="AH136" i="5" s="1"/>
  <c r="AF413" i="5"/>
  <c r="AH413" i="5" s="1"/>
  <c r="AF313" i="5"/>
  <c r="BI313" i="5" s="1"/>
  <c r="AF297" i="5"/>
  <c r="AH297" i="5" s="1"/>
  <c r="AF441" i="5"/>
  <c r="BI441" i="5" s="1"/>
  <c r="AF73" i="5"/>
  <c r="AH73" i="5" s="1"/>
  <c r="AE87" i="4"/>
  <c r="AF436" i="5"/>
  <c r="AG436" i="5" s="1"/>
  <c r="AF137" i="5"/>
  <c r="BI137" i="5" s="1"/>
  <c r="AF457" i="5"/>
  <c r="AH457" i="5" s="1"/>
  <c r="AF409" i="5"/>
  <c r="BI409" i="5" s="1"/>
  <c r="AF27" i="5"/>
  <c r="BI27" i="5" s="1"/>
  <c r="AF66" i="5"/>
  <c r="AG66" i="5" s="1"/>
  <c r="AF497" i="5"/>
  <c r="AH497" i="5" s="1"/>
  <c r="AF473" i="5"/>
  <c r="AG473" i="5" s="1"/>
  <c r="AF63" i="5"/>
  <c r="AH63" i="5" s="1"/>
  <c r="AF558" i="5"/>
  <c r="AH558" i="5" s="1"/>
  <c r="AF455" i="5"/>
  <c r="AG455" i="5" s="1"/>
  <c r="AF537" i="5"/>
  <c r="AG537" i="5" s="1"/>
  <c r="AF169" i="5"/>
  <c r="AH169" i="5" s="1"/>
  <c r="AF209" i="5"/>
  <c r="AG209" i="5" s="1"/>
  <c r="AF268" i="5"/>
  <c r="BI268" i="5" s="1"/>
  <c r="AF200" i="5"/>
  <c r="AG200" i="5" s="1"/>
  <c r="AF279" i="5"/>
  <c r="AH279" i="5" s="1"/>
  <c r="AF356" i="5"/>
  <c r="AG356" i="5" s="1"/>
  <c r="AF376" i="5"/>
  <c r="AH376" i="5" s="1"/>
  <c r="AF476" i="5"/>
  <c r="AH476" i="5" s="1"/>
  <c r="AF395" i="5"/>
  <c r="AG395" i="5" s="1"/>
  <c r="AF553" i="5"/>
  <c r="AG553" i="5" s="1"/>
  <c r="AF62" i="5"/>
  <c r="AH62" i="5" s="1"/>
  <c r="AF222" i="5"/>
  <c r="AG222" i="5" s="1"/>
  <c r="AF58" i="5"/>
  <c r="BI58" i="5" s="1"/>
  <c r="AF80" i="5"/>
  <c r="AH80" i="5" s="1"/>
  <c r="AF415" i="5"/>
  <c r="AH415" i="5" s="1"/>
  <c r="AF527" i="5"/>
  <c r="AG527" i="5" s="1"/>
  <c r="AF102" i="5"/>
  <c r="AG102" i="5" s="1"/>
  <c r="AE111" i="4"/>
  <c r="AF464" i="5"/>
  <c r="BI464" i="5" s="1"/>
  <c r="AF91" i="5"/>
  <c r="AG91" i="5" s="1"/>
  <c r="AF486" i="5"/>
  <c r="AH486" i="5" s="1"/>
  <c r="AF398" i="5"/>
  <c r="BI398" i="5" s="1"/>
  <c r="AF399" i="5"/>
  <c r="AH399" i="5" s="1"/>
  <c r="AF303" i="5"/>
  <c r="AH303" i="5" s="1"/>
  <c r="AF60" i="5"/>
  <c r="AH60" i="5" s="1"/>
  <c r="AF530" i="5"/>
  <c r="AG530" i="5" s="1"/>
  <c r="AF61" i="5"/>
  <c r="AH61" i="5" s="1"/>
  <c r="AF282" i="5"/>
  <c r="BI282" i="5" s="1"/>
  <c r="AF81" i="5"/>
  <c r="BI81" i="5" s="1"/>
  <c r="AE8" i="4"/>
  <c r="AF133" i="5"/>
  <c r="AG133" i="5" s="1"/>
  <c r="AF481" i="5"/>
  <c r="AH481" i="5" s="1"/>
  <c r="AF427" i="5"/>
  <c r="BI427" i="5" s="1"/>
  <c r="AF65" i="5"/>
  <c r="AG65" i="5" s="1"/>
  <c r="AF154" i="5"/>
  <c r="AG154" i="5" s="1"/>
  <c r="AF439" i="5"/>
  <c r="BI439" i="5" s="1"/>
  <c r="Z34" i="4"/>
  <c r="AN34" i="4" s="1"/>
  <c r="AF130" i="5"/>
  <c r="BI130" i="5" s="1"/>
  <c r="AF534" i="5"/>
  <c r="AH534" i="5" s="1"/>
  <c r="AF482" i="5"/>
  <c r="AG482" i="5" s="1"/>
  <c r="AF355" i="5"/>
  <c r="AG355" i="5" s="1"/>
  <c r="AF204" i="5"/>
  <c r="AH204" i="5" s="1"/>
  <c r="AF23" i="5"/>
  <c r="AG23" i="5" s="1"/>
  <c r="AF404" i="5"/>
  <c r="AH404" i="5" s="1"/>
  <c r="AF53" i="5"/>
  <c r="AG53" i="5" s="1"/>
  <c r="AF264" i="5"/>
  <c r="AG264" i="5" s="1"/>
  <c r="AF366" i="5"/>
  <c r="AH366" i="5" s="1"/>
  <c r="AF52" i="5"/>
  <c r="AG52" i="5" s="1"/>
  <c r="AF336" i="5"/>
  <c r="AH336" i="5" s="1"/>
  <c r="AF33" i="5"/>
  <c r="AH33" i="5" s="1"/>
  <c r="AF338" i="5"/>
  <c r="AG338" i="5" s="1"/>
  <c r="AF69" i="5"/>
  <c r="AG69" i="5" s="1"/>
  <c r="AF202" i="5"/>
  <c r="AG202" i="5" s="1"/>
  <c r="AF221" i="5"/>
  <c r="AH221" i="5" s="1"/>
  <c r="AF278" i="5"/>
  <c r="AH278" i="5" s="1"/>
  <c r="AF218" i="5"/>
  <c r="AH218" i="5" s="1"/>
  <c r="AE10" i="4"/>
  <c r="Z10" i="4"/>
  <c r="AN10" i="4" s="1"/>
  <c r="AF288" i="5"/>
  <c r="AG288" i="5" s="1"/>
  <c r="AF539" i="5"/>
  <c r="AG539" i="5" s="1"/>
  <c r="AF140" i="5"/>
  <c r="BI140" i="5" s="1"/>
  <c r="AF548" i="5"/>
  <c r="AH548" i="5" s="1"/>
  <c r="AF93" i="5"/>
  <c r="AH93" i="5" s="1"/>
  <c r="AF478" i="5"/>
  <c r="BI478" i="5" s="1"/>
  <c r="AF474" i="5"/>
  <c r="AG474" i="5" s="1"/>
  <c r="AF87" i="5"/>
  <c r="AH87" i="5" s="1"/>
  <c r="AF64" i="5"/>
  <c r="BI64" i="5" s="1"/>
  <c r="Z111" i="4"/>
  <c r="AN111" i="4" s="1"/>
  <c r="AF488" i="5"/>
  <c r="AH488" i="5" s="1"/>
  <c r="AF345" i="5"/>
  <c r="AH345" i="5" s="1"/>
  <c r="AF520" i="5"/>
  <c r="AG520" i="5" s="1"/>
  <c r="AF483" i="5"/>
  <c r="AG483" i="5" s="1"/>
  <c r="AF249" i="5"/>
  <c r="AG249" i="5" s="1"/>
  <c r="AF438" i="5"/>
  <c r="AG438" i="5" s="1"/>
  <c r="AE123" i="4"/>
  <c r="Z48" i="4"/>
  <c r="AN48" i="4" s="1"/>
  <c r="Z46" i="4"/>
  <c r="X46" i="4" s="1"/>
  <c r="AA46" i="4" s="1"/>
  <c r="AF330" i="5"/>
  <c r="BI330" i="5" s="1"/>
  <c r="AF238" i="5"/>
  <c r="AH238" i="5" s="1"/>
  <c r="AF467" i="5"/>
  <c r="BI467" i="5" s="1"/>
  <c r="AF424" i="5"/>
  <c r="AG424" i="5" s="1"/>
  <c r="AF420" i="5"/>
  <c r="AG420" i="5" s="1"/>
  <c r="AF51" i="5"/>
  <c r="AG51" i="5" s="1"/>
  <c r="AE157" i="4"/>
  <c r="Z157" i="4"/>
  <c r="AN157" i="4" s="1"/>
  <c r="AE151" i="4"/>
  <c r="AE46" i="4"/>
  <c r="AF351" i="5"/>
  <c r="AH351" i="5" s="1"/>
  <c r="AF359" i="5"/>
  <c r="AH359" i="5" s="1"/>
  <c r="AF217" i="5"/>
  <c r="AH217" i="5" s="1"/>
  <c r="AF418" i="5"/>
  <c r="AG418" i="5" s="1"/>
  <c r="AF35" i="5"/>
  <c r="BI35" i="5" s="1"/>
  <c r="AF108" i="5"/>
  <c r="AH108" i="5" s="1"/>
  <c r="AF131" i="5"/>
  <c r="AG131" i="5" s="1"/>
  <c r="AF429" i="5"/>
  <c r="AH429" i="5" s="1"/>
  <c r="AF235" i="5"/>
  <c r="AG235" i="5" s="1"/>
  <c r="AF144" i="5"/>
  <c r="AH144" i="5" s="1"/>
  <c r="AF213" i="5"/>
  <c r="AH213" i="5" s="1"/>
  <c r="AF101" i="5"/>
  <c r="AG101" i="5" s="1"/>
  <c r="AF291" i="5"/>
  <c r="AG291" i="5" s="1"/>
  <c r="AF334" i="5"/>
  <c r="AH334" i="5" s="1"/>
  <c r="AF179" i="5"/>
  <c r="AH179" i="5" s="1"/>
  <c r="AE48" i="4"/>
  <c r="Z56" i="4"/>
  <c r="X56" i="4" s="1"/>
  <c r="AJ56" i="4" s="1"/>
  <c r="AF378" i="5"/>
  <c r="AH378" i="5" s="1"/>
  <c r="AF310" i="5"/>
  <c r="AG310" i="5" s="1"/>
  <c r="AF317" i="5"/>
  <c r="AH317" i="5" s="1"/>
  <c r="AF477" i="5"/>
  <c r="BI477" i="5" s="1"/>
  <c r="AF50" i="5"/>
  <c r="AH50" i="5" s="1"/>
  <c r="AF145" i="5"/>
  <c r="BI145" i="5" s="1"/>
  <c r="AF208" i="5"/>
  <c r="AG208" i="5" s="1"/>
  <c r="AF445" i="5"/>
  <c r="AG445" i="5" s="1"/>
  <c r="AF385" i="5"/>
  <c r="AH385" i="5" s="1"/>
  <c r="AF201" i="5"/>
  <c r="AG201" i="5" s="1"/>
  <c r="AF72" i="5"/>
  <c r="AH72" i="5" s="1"/>
  <c r="Z123" i="4"/>
  <c r="X123" i="4" s="1"/>
  <c r="AJ123" i="4" s="1"/>
  <c r="AF267" i="5"/>
  <c r="AG267" i="5" s="1"/>
  <c r="AF490" i="5"/>
  <c r="BI490" i="5" s="1"/>
  <c r="AF245" i="5"/>
  <c r="AG245" i="5" s="1"/>
  <c r="AF42" i="5"/>
  <c r="AG42" i="5" s="1"/>
  <c r="AF76" i="5"/>
  <c r="AG76" i="5" s="1"/>
  <c r="AF187" i="5"/>
  <c r="AH187" i="5" s="1"/>
  <c r="AF165" i="5"/>
  <c r="AH165" i="5" s="1"/>
  <c r="AF347" i="5"/>
  <c r="AG347" i="5" s="1"/>
  <c r="AF393" i="5"/>
  <c r="AH393" i="5" s="1"/>
  <c r="AF115" i="5"/>
  <c r="AH115" i="5" s="1"/>
  <c r="AF518" i="5"/>
  <c r="AH518" i="5" s="1"/>
  <c r="AF167" i="5"/>
  <c r="AH167" i="5" s="1"/>
  <c r="AF335" i="5"/>
  <c r="AH335" i="5" s="1"/>
  <c r="AF236" i="5"/>
  <c r="AH236" i="5" s="1"/>
  <c r="AF354" i="5"/>
  <c r="AG354" i="5" s="1"/>
  <c r="AF506" i="5"/>
  <c r="AH506" i="5" s="1"/>
  <c r="AF86" i="5"/>
  <c r="AG86" i="5" s="1"/>
  <c r="AF479" i="5"/>
  <c r="AH479" i="5" s="1"/>
  <c r="AF316" i="5"/>
  <c r="AG316" i="5" s="1"/>
  <c r="Z151" i="4"/>
  <c r="AN151" i="4" s="1"/>
  <c r="AE56" i="4"/>
  <c r="AF489" i="5"/>
  <c r="AG489" i="5" s="1"/>
  <c r="AF444" i="5"/>
  <c r="AG444" i="5" s="1"/>
  <c r="AF556" i="5"/>
  <c r="AH556" i="5" s="1"/>
  <c r="AF269" i="5"/>
  <c r="AH269" i="5" s="1"/>
  <c r="AF465" i="5"/>
  <c r="AH465" i="5" s="1"/>
  <c r="AF532" i="5"/>
  <c r="AH532" i="5" s="1"/>
  <c r="AF388" i="5"/>
  <c r="AH388" i="5" s="1"/>
  <c r="X153" i="4"/>
  <c r="AA153" i="4" s="1"/>
  <c r="AQ153" i="4" s="1"/>
  <c r="AF158" i="5"/>
  <c r="BI158" i="5" s="1"/>
  <c r="AF350" i="5"/>
  <c r="BI350" i="5" s="1"/>
  <c r="AF242" i="5"/>
  <c r="AG242" i="5" s="1"/>
  <c r="AF302" i="5"/>
  <c r="AH302" i="5" s="1"/>
  <c r="AF43" i="5"/>
  <c r="AH43" i="5" s="1"/>
  <c r="AF428" i="5"/>
  <c r="AH428" i="5" s="1"/>
  <c r="AF262" i="5"/>
  <c r="AG262" i="5" s="1"/>
  <c r="AF342" i="5"/>
  <c r="AG342" i="5" s="1"/>
  <c r="AF121" i="5"/>
  <c r="AG121" i="5" s="1"/>
  <c r="AF31" i="5"/>
  <c r="BI31" i="5" s="1"/>
  <c r="AF116" i="5"/>
  <c r="BI116" i="5" s="1"/>
  <c r="AF162" i="5"/>
  <c r="AG162" i="5" s="1"/>
  <c r="AF337" i="5"/>
  <c r="AH337" i="5" s="1"/>
  <c r="AF296" i="5"/>
  <c r="AG296" i="5" s="1"/>
  <c r="AF421" i="5"/>
  <c r="AG421" i="5" s="1"/>
  <c r="AF293" i="5"/>
  <c r="AH293" i="5" s="1"/>
  <c r="AF492" i="5"/>
  <c r="AG492" i="5" s="1"/>
  <c r="AF559" i="5"/>
  <c r="AH559" i="5" s="1"/>
  <c r="AF386" i="5"/>
  <c r="AH386" i="5" s="1"/>
  <c r="AF367" i="5"/>
  <c r="AG367" i="5" s="1"/>
  <c r="AF254" i="5"/>
  <c r="AH254" i="5" s="1"/>
  <c r="AF324" i="5"/>
  <c r="AH324" i="5" s="1"/>
  <c r="AF519" i="5"/>
  <c r="BI519" i="5" s="1"/>
  <c r="AF414" i="5"/>
  <c r="AH414" i="5" s="1"/>
  <c r="AF387" i="5"/>
  <c r="AG387" i="5" s="1"/>
  <c r="AF346" i="5"/>
  <c r="AH346" i="5" s="1"/>
  <c r="AF159" i="5"/>
  <c r="AG159" i="5" s="1"/>
  <c r="AF300" i="5"/>
  <c r="AH300" i="5" s="1"/>
  <c r="AF75" i="5"/>
  <c r="AH75" i="5" s="1"/>
  <c r="AF434" i="5"/>
  <c r="BI434" i="5" s="1"/>
  <c r="AF157" i="5"/>
  <c r="AH157" i="5" s="1"/>
  <c r="AF284" i="5"/>
  <c r="AH284" i="5" s="1"/>
  <c r="AF468" i="5"/>
  <c r="AH468" i="5" s="1"/>
  <c r="AF128" i="5"/>
  <c r="AH128" i="5" s="1"/>
  <c r="AF352" i="5"/>
  <c r="AH352" i="5" s="1"/>
  <c r="AF142" i="5"/>
  <c r="AH142" i="5" s="1"/>
  <c r="AF341" i="5"/>
  <c r="AG341" i="5" s="1"/>
  <c r="AF134" i="5"/>
  <c r="AG134" i="5" s="1"/>
  <c r="AF150" i="5"/>
  <c r="AH150" i="5" s="1"/>
  <c r="AF306" i="5"/>
  <c r="AG306" i="5" s="1"/>
  <c r="AF237" i="5"/>
  <c r="AH237" i="5" s="1"/>
  <c r="AF122" i="5"/>
  <c r="BI122" i="5" s="1"/>
  <c r="AF475" i="5"/>
  <c r="AH475" i="5" s="1"/>
  <c r="AF371" i="5"/>
  <c r="AG371" i="5" s="1"/>
  <c r="AF226" i="5"/>
  <c r="AH226" i="5" s="1"/>
  <c r="AF271" i="5"/>
  <c r="AH271" i="5" s="1"/>
  <c r="AF244" i="5"/>
  <c r="AG244" i="5" s="1"/>
  <c r="AF138" i="5"/>
  <c r="AG138" i="5" s="1"/>
  <c r="AF402" i="5"/>
  <c r="BI402" i="5" s="1"/>
  <c r="AF339" i="5"/>
  <c r="AH339" i="5" s="1"/>
  <c r="AF472" i="5"/>
  <c r="BI472" i="5" s="1"/>
  <c r="AF463" i="5"/>
  <c r="AG463" i="5" s="1"/>
  <c r="AF68" i="5"/>
  <c r="AH68" i="5" s="1"/>
  <c r="AF382" i="5"/>
  <c r="AG382" i="5" s="1"/>
  <c r="AF529" i="5"/>
  <c r="AG529" i="5" s="1"/>
  <c r="Z43" i="4"/>
  <c r="AN43" i="4" s="1"/>
  <c r="AF122" i="4"/>
  <c r="AG122" i="4" s="1"/>
  <c r="AI122" i="4" s="1"/>
  <c r="X49" i="4"/>
  <c r="AA49" i="4" s="1"/>
  <c r="AP49" i="4" s="1"/>
  <c r="X111" i="4"/>
  <c r="AA111" i="4" s="1"/>
  <c r="AQ111" i="4" s="1"/>
  <c r="AE43" i="4"/>
  <c r="AE22" i="4"/>
  <c r="AE47" i="4"/>
  <c r="Z72" i="4"/>
  <c r="AN72" i="4" s="1"/>
  <c r="Z147" i="4"/>
  <c r="AN147" i="4" s="1"/>
  <c r="X129" i="4"/>
  <c r="AJ129" i="4" s="1"/>
  <c r="Z47" i="4"/>
  <c r="X47" i="4" s="1"/>
  <c r="AJ47" i="4" s="1"/>
  <c r="AE25" i="4"/>
  <c r="X155" i="4"/>
  <c r="AA155" i="4" s="1"/>
  <c r="AC155" i="4" s="1"/>
  <c r="AD155" i="4" s="1"/>
  <c r="Z20" i="4"/>
  <c r="AF20" i="4" s="1"/>
  <c r="AG20" i="4" s="1"/>
  <c r="AI20" i="4" s="1"/>
  <c r="AE20" i="4"/>
  <c r="X124" i="4"/>
  <c r="AJ124" i="4" s="1"/>
  <c r="X141" i="4"/>
  <c r="AA141" i="4" s="1"/>
  <c r="AC141" i="4" s="1"/>
  <c r="AD141" i="4" s="1"/>
  <c r="X137" i="4"/>
  <c r="AJ137" i="4" s="1"/>
  <c r="AE34" i="4"/>
  <c r="Z107" i="4"/>
  <c r="AN107" i="4" s="1"/>
  <c r="Z97" i="4"/>
  <c r="AN97" i="4" s="1"/>
  <c r="AE97" i="4"/>
  <c r="Z25" i="4"/>
  <c r="AN25" i="4" s="1"/>
  <c r="AE152" i="4"/>
  <c r="Z36" i="4"/>
  <c r="X36" i="4" s="1"/>
  <c r="AJ36" i="4" s="1"/>
  <c r="AE36" i="4"/>
  <c r="AE133" i="4"/>
  <c r="AE107" i="4"/>
  <c r="AE81" i="4"/>
  <c r="AE71" i="4"/>
  <c r="AE147" i="4"/>
  <c r="AE59" i="4"/>
  <c r="AE72" i="4"/>
  <c r="Z133" i="4"/>
  <c r="X133" i="4" s="1"/>
  <c r="AA133" i="4" s="1"/>
  <c r="AC133" i="4" s="1"/>
  <c r="AD133" i="4" s="1"/>
  <c r="Z139" i="4"/>
  <c r="AN139" i="4" s="1"/>
  <c r="AE139" i="4"/>
  <c r="Z8" i="4"/>
  <c r="AN8" i="4" s="1"/>
  <c r="AE93" i="4"/>
  <c r="Z93" i="4"/>
  <c r="AN93" i="4" s="1"/>
  <c r="Z152" i="4"/>
  <c r="Z79" i="4"/>
  <c r="AN79" i="4" s="1"/>
  <c r="X73" i="4"/>
  <c r="AJ73" i="4" s="1"/>
  <c r="X115" i="4"/>
  <c r="AA115" i="4" s="1"/>
  <c r="AP115" i="4" s="1"/>
  <c r="X148" i="4"/>
  <c r="AA148" i="4" s="1"/>
  <c r="AP148" i="4" s="1"/>
  <c r="X109" i="4"/>
  <c r="AA109" i="4" s="1"/>
  <c r="AQ109" i="4" s="1"/>
  <c r="BN37" i="5"/>
  <c r="BM37" i="5"/>
  <c r="BI37" i="5"/>
  <c r="AG37" i="5"/>
  <c r="AH37" i="5"/>
  <c r="X38" i="4"/>
  <c r="AJ38" i="4" s="1"/>
  <c r="AA110" i="4"/>
  <c r="AQ110" i="4" s="1"/>
  <c r="AR9" i="5"/>
  <c r="AF9" i="4"/>
  <c r="AG9" i="4" s="1"/>
  <c r="AI9" i="4" s="1"/>
  <c r="U9" i="5"/>
  <c r="X117" i="4"/>
  <c r="AJ117" i="4" s="1"/>
  <c r="X81" i="4"/>
  <c r="AJ81" i="4" s="1"/>
  <c r="AF68" i="4"/>
  <c r="AG68" i="4" s="1"/>
  <c r="AI68" i="4" s="1"/>
  <c r="X66" i="4"/>
  <c r="AA66" i="4" s="1"/>
  <c r="BD9" i="5"/>
  <c r="AG36" i="5"/>
  <c r="BF9" i="5"/>
  <c r="BG9" i="5" s="1"/>
  <c r="AX9" i="5"/>
  <c r="X65" i="4"/>
  <c r="AA65" i="4" s="1"/>
  <c r="AC65" i="4" s="1"/>
  <c r="AD65" i="4" s="1"/>
  <c r="X69" i="4"/>
  <c r="AJ69" i="4" s="1"/>
  <c r="X157" i="4"/>
  <c r="AA157" i="4" s="1"/>
  <c r="AQ157" i="4" s="1"/>
  <c r="X82" i="4"/>
  <c r="AA82" i="4" s="1"/>
  <c r="AP82" i="4" s="1"/>
  <c r="X142" i="4"/>
  <c r="AA142" i="4" s="1"/>
  <c r="AC142" i="4" s="1"/>
  <c r="AD142" i="4" s="1"/>
  <c r="AS9" i="5"/>
  <c r="AK9" i="5"/>
  <c r="AL9" i="5"/>
  <c r="BA9" i="5"/>
  <c r="S9" i="5"/>
  <c r="X78" i="4"/>
  <c r="AA78" i="4" s="1"/>
  <c r="AQ78" i="4" s="1"/>
  <c r="X149" i="4"/>
  <c r="AK149" i="4" s="1"/>
  <c r="AL149" i="4" s="1"/>
  <c r="AO149" i="4" s="1"/>
  <c r="X70" i="4"/>
  <c r="AJ70" i="4" s="1"/>
  <c r="AF65" i="4"/>
  <c r="AG65" i="4" s="1"/>
  <c r="AI65" i="4" s="1"/>
  <c r="AF82" i="4"/>
  <c r="AG82" i="4" s="1"/>
  <c r="AI82" i="4" s="1"/>
  <c r="X9" i="5"/>
  <c r="AA9" i="5"/>
  <c r="AF117" i="4"/>
  <c r="AG117" i="4" s="1"/>
  <c r="AI117" i="4" s="1"/>
  <c r="AF109" i="4"/>
  <c r="AG109" i="4" s="1"/>
  <c r="AI109" i="4" s="1"/>
  <c r="AF19" i="4"/>
  <c r="AG19" i="4" s="1"/>
  <c r="AI19" i="4" s="1"/>
  <c r="X19" i="4"/>
  <c r="AJ19" i="4" s="1"/>
  <c r="X147" i="4"/>
  <c r="AJ147" i="4" s="1"/>
  <c r="AA71" i="4"/>
  <c r="AQ71" i="4" s="1"/>
  <c r="X33" i="4"/>
  <c r="AA33" i="4" s="1"/>
  <c r="AC33" i="4" s="1"/>
  <c r="AD33" i="4" s="1"/>
  <c r="X51" i="4"/>
  <c r="AJ51" i="4" s="1"/>
  <c r="X87" i="4"/>
  <c r="AJ87" i="4" s="1"/>
  <c r="AA124" i="4"/>
  <c r="AC124" i="4" s="1"/>
  <c r="AD124" i="4" s="1"/>
  <c r="X146" i="4"/>
  <c r="AK146" i="4" s="1"/>
  <c r="AL146" i="4" s="1"/>
  <c r="AO146" i="4" s="1"/>
  <c r="X84" i="4"/>
  <c r="AJ84" i="4" s="1"/>
  <c r="AF33" i="4"/>
  <c r="AG33" i="4" s="1"/>
  <c r="AI33" i="4" s="1"/>
  <c r="AJ96" i="4"/>
  <c r="AA96" i="4"/>
  <c r="AP96" i="4" s="1"/>
  <c r="AA134" i="4"/>
  <c r="AC134" i="4" s="1"/>
  <c r="AD134" i="4" s="1"/>
  <c r="X132" i="4"/>
  <c r="AJ132" i="4" s="1"/>
  <c r="X120" i="4"/>
  <c r="AJ120" i="4" s="1"/>
  <c r="X62" i="4"/>
  <c r="AA62" i="4" s="1"/>
  <c r="AQ62" i="4" s="1"/>
  <c r="X76" i="4"/>
  <c r="AA76" i="4" s="1"/>
  <c r="AC76" i="4" s="1"/>
  <c r="AD76" i="4" s="1"/>
  <c r="X83" i="4"/>
  <c r="AA83" i="4" s="1"/>
  <c r="AC83" i="4" s="1"/>
  <c r="AD83" i="4" s="1"/>
  <c r="AA117" i="4"/>
  <c r="AQ117" i="4" s="1"/>
  <c r="X77" i="4"/>
  <c r="AJ77" i="4" s="1"/>
  <c r="AA73" i="4"/>
  <c r="AP73" i="4" s="1"/>
  <c r="X75" i="4"/>
  <c r="X143" i="4"/>
  <c r="AJ143" i="4" s="1"/>
  <c r="X112" i="4"/>
  <c r="AJ112" i="4" s="1"/>
  <c r="X144" i="4"/>
  <c r="AJ144" i="4" s="1"/>
  <c r="X125" i="4"/>
  <c r="AJ125" i="4" s="1"/>
  <c r="AA91" i="4"/>
  <c r="AQ91" i="4" s="1"/>
  <c r="X100" i="4"/>
  <c r="AA100" i="4" s="1"/>
  <c r="X119" i="4"/>
  <c r="AJ119" i="4" s="1"/>
  <c r="X57" i="4"/>
  <c r="AJ57" i="4" s="1"/>
  <c r="X118" i="4"/>
  <c r="AJ118" i="4" s="1"/>
  <c r="X116" i="4"/>
  <c r="AJ116" i="4" s="1"/>
  <c r="X126" i="4"/>
  <c r="AA126" i="4" s="1"/>
  <c r="AP126" i="4" s="1"/>
  <c r="X151" i="4"/>
  <c r="AA151" i="4" s="1"/>
  <c r="AQ151" i="4" s="1"/>
  <c r="X108" i="4"/>
  <c r="AA108" i="4" s="1"/>
  <c r="AQ108" i="4" s="1"/>
  <c r="X53" i="4"/>
  <c r="AA53" i="4" s="1"/>
  <c r="AC53" i="4" s="1"/>
  <c r="AD53" i="4" s="1"/>
  <c r="X114" i="4"/>
  <c r="AJ114" i="4" s="1"/>
  <c r="X61" i="4"/>
  <c r="AJ61" i="4" s="1"/>
  <c r="X92" i="4"/>
  <c r="X80" i="4"/>
  <c r="AJ80" i="4" s="1"/>
  <c r="X113" i="4"/>
  <c r="AJ113" i="4" s="1"/>
  <c r="X86" i="4"/>
  <c r="X139" i="4"/>
  <c r="AJ139" i="4" s="1"/>
  <c r="X68" i="4"/>
  <c r="AJ68" i="4" s="1"/>
  <c r="X122" i="4"/>
  <c r="AK122" i="4" s="1"/>
  <c r="AL122" i="4" s="1"/>
  <c r="AO122" i="4" s="1"/>
  <c r="X52" i="4"/>
  <c r="AJ52" i="4" s="1"/>
  <c r="X156" i="4"/>
  <c r="AA156" i="4" s="1"/>
  <c r="X97" i="4"/>
  <c r="AA97" i="4" s="1"/>
  <c r="X128" i="4"/>
  <c r="AA74" i="4"/>
  <c r="X58" i="4"/>
  <c r="AK58" i="4" s="1"/>
  <c r="AL58" i="4" s="1"/>
  <c r="AO58" i="4" s="1"/>
  <c r="X101" i="4"/>
  <c r="AJ101" i="4" s="1"/>
  <c r="X154" i="4"/>
  <c r="AJ154" i="4" s="1"/>
  <c r="X145" i="4"/>
  <c r="X105" i="4"/>
  <c r="X90" i="4"/>
  <c r="AJ90" i="4" s="1"/>
  <c r="X150" i="4"/>
  <c r="AA150" i="4" s="1"/>
  <c r="X88" i="4"/>
  <c r="AA88" i="4" s="1"/>
  <c r="X103" i="4"/>
  <c r="AJ103" i="4" s="1"/>
  <c r="X135" i="4"/>
  <c r="AA135" i="4" s="1"/>
  <c r="AA98" i="4"/>
  <c r="AP98" i="4" s="1"/>
  <c r="AA129" i="4"/>
  <c r="X60" i="4"/>
  <c r="AJ60" i="4" s="1"/>
  <c r="X136" i="4"/>
  <c r="AJ136" i="4" s="1"/>
  <c r="X131" i="4"/>
  <c r="X138" i="4"/>
  <c r="AJ138" i="4" s="1"/>
  <c r="X85" i="4"/>
  <c r="AA85" i="4" s="1"/>
  <c r="AA137" i="4"/>
  <c r="AC137" i="4" s="1"/>
  <c r="AD137" i="4" s="1"/>
  <c r="X127" i="4"/>
  <c r="AJ127" i="4" s="1"/>
  <c r="X95" i="4"/>
  <c r="AA95" i="4" s="1"/>
  <c r="X121" i="4"/>
  <c r="AJ121" i="4" s="1"/>
  <c r="X89" i="4"/>
  <c r="AJ89" i="4" s="1"/>
  <c r="AA106" i="4"/>
  <c r="AC106" i="4" s="1"/>
  <c r="AD106" i="4" s="1"/>
  <c r="X140" i="4"/>
  <c r="AA140" i="4" s="1"/>
  <c r="AA99" i="4"/>
  <c r="AC99" i="4" s="1"/>
  <c r="AD99" i="4" s="1"/>
  <c r="X102" i="4"/>
  <c r="AJ102" i="4" s="1"/>
  <c r="X104" i="4"/>
  <c r="AA104" i="4" s="1"/>
  <c r="AQ104" i="4" s="1"/>
  <c r="AF44" i="4"/>
  <c r="AG44" i="4" s="1"/>
  <c r="AI44" i="4" s="1"/>
  <c r="AF31" i="4"/>
  <c r="AG31" i="4" s="1"/>
  <c r="AI31" i="4" s="1"/>
  <c r="AG516" i="5"/>
  <c r="AH106" i="5"/>
  <c r="X31" i="4"/>
  <c r="AA31" i="4" s="1"/>
  <c r="AC31" i="4" s="1"/>
  <c r="AD31" i="4" s="1"/>
  <c r="AF35" i="4"/>
  <c r="AG35" i="4" s="1"/>
  <c r="AI35" i="4" s="1"/>
  <c r="AH22" i="5"/>
  <c r="AF104" i="4"/>
  <c r="AG104" i="4" s="1"/>
  <c r="AI104" i="4" s="1"/>
  <c r="X40" i="4"/>
  <c r="AA40" i="4" s="1"/>
  <c r="AQ40" i="4" s="1"/>
  <c r="AF40" i="4"/>
  <c r="AG40" i="4" s="1"/>
  <c r="AI40" i="4" s="1"/>
  <c r="X24" i="4"/>
  <c r="AA24" i="4" s="1"/>
  <c r="AQ24" i="4" s="1"/>
  <c r="X17" i="4"/>
  <c r="AJ17" i="4" s="1"/>
  <c r="AT10" i="5"/>
  <c r="X11" i="4"/>
  <c r="AJ11" i="4" s="1"/>
  <c r="AF146" i="4"/>
  <c r="AG146" i="4" s="1"/>
  <c r="AI146" i="4" s="1"/>
  <c r="AK106" i="4"/>
  <c r="AL106" i="4" s="1"/>
  <c r="BL10" i="5"/>
  <c r="BM10" i="5" s="1"/>
  <c r="X37" i="4"/>
  <c r="AJ37" i="4" s="1"/>
  <c r="AF149" i="4"/>
  <c r="AG149" i="4" s="1"/>
  <c r="AI149" i="4" s="1"/>
  <c r="AF37" i="4"/>
  <c r="AG37" i="4" s="1"/>
  <c r="AI37" i="4" s="1"/>
  <c r="AF11" i="4"/>
  <c r="AG11" i="4" s="1"/>
  <c r="AI11" i="4" s="1"/>
  <c r="X41" i="4"/>
  <c r="AJ41" i="4" s="1"/>
  <c r="X44" i="4"/>
  <c r="X54" i="4"/>
  <c r="AJ54" i="4" s="1"/>
  <c r="X55" i="4"/>
  <c r="AJ55" i="4" s="1"/>
  <c r="X50" i="4"/>
  <c r="AJ50" i="4" s="1"/>
  <c r="X26" i="4"/>
  <c r="AA26" i="4" s="1"/>
  <c r="AQ26" i="4" s="1"/>
  <c r="AF55" i="4"/>
  <c r="AG55" i="4" s="1"/>
  <c r="AI55" i="4" s="1"/>
  <c r="AH163" i="5"/>
  <c r="AG540" i="5"/>
  <c r="AF76" i="4"/>
  <c r="AG76" i="4" s="1"/>
  <c r="AI76" i="4" s="1"/>
  <c r="AF108" i="4"/>
  <c r="AG108" i="4" s="1"/>
  <c r="AI108" i="4" s="1"/>
  <c r="AF78" i="4"/>
  <c r="AG78" i="4" s="1"/>
  <c r="AI78" i="4" s="1"/>
  <c r="X39" i="4"/>
  <c r="X32" i="4"/>
  <c r="AA32" i="4" s="1"/>
  <c r="AC32" i="4" s="1"/>
  <c r="AD32" i="4" s="1"/>
  <c r="X35" i="4"/>
  <c r="AK35" i="4" s="1"/>
  <c r="AL35" i="4" s="1"/>
  <c r="AO35" i="4" s="1"/>
  <c r="X28" i="4"/>
  <c r="AA28" i="4" s="1"/>
  <c r="AP28" i="4" s="1"/>
  <c r="AG98" i="5"/>
  <c r="AG168" i="5"/>
  <c r="AH504" i="5"/>
  <c r="AH196" i="5"/>
  <c r="AH248" i="5"/>
  <c r="AG83" i="5"/>
  <c r="AF136" i="4"/>
  <c r="AG136" i="4" s="1"/>
  <c r="AI136" i="4" s="1"/>
  <c r="AF128" i="4"/>
  <c r="AG128" i="4" s="1"/>
  <c r="AI128" i="4" s="1"/>
  <c r="AF155" i="4"/>
  <c r="AG155" i="4" s="1"/>
  <c r="AI155" i="4" s="1"/>
  <c r="AF28" i="4"/>
  <c r="AG28" i="4" s="1"/>
  <c r="AI28" i="4" s="1"/>
  <c r="AF83" i="4"/>
  <c r="AG83" i="4" s="1"/>
  <c r="AI83" i="4" s="1"/>
  <c r="AF153" i="4"/>
  <c r="AG153" i="4" s="1"/>
  <c r="AI153" i="4" s="1"/>
  <c r="AH285" i="5"/>
  <c r="AF124" i="4"/>
  <c r="AG124" i="4" s="1"/>
  <c r="AI124" i="4" s="1"/>
  <c r="AF140" i="4"/>
  <c r="AG140" i="4" s="1"/>
  <c r="AI140" i="4" s="1"/>
  <c r="AK96" i="4"/>
  <c r="AL96" i="4" s="1"/>
  <c r="AF89" i="4"/>
  <c r="AG89" i="4" s="1"/>
  <c r="AI89" i="4" s="1"/>
  <c r="AF13" i="4"/>
  <c r="AG13" i="4" s="1"/>
  <c r="AI13" i="4" s="1"/>
  <c r="AF88" i="4"/>
  <c r="AG88" i="4" s="1"/>
  <c r="AI88" i="4" s="1"/>
  <c r="AF105" i="4"/>
  <c r="AG105" i="4" s="1"/>
  <c r="AI105" i="4" s="1"/>
  <c r="AF148" i="4"/>
  <c r="AG148" i="4" s="1"/>
  <c r="AI148" i="4" s="1"/>
  <c r="AF49" i="4"/>
  <c r="AG49" i="4" s="1"/>
  <c r="AI49" i="4" s="1"/>
  <c r="AF101" i="4"/>
  <c r="AG101" i="4" s="1"/>
  <c r="AI101" i="4" s="1"/>
  <c r="X13" i="4"/>
  <c r="AK13" i="4" s="1"/>
  <c r="AL13" i="4" s="1"/>
  <c r="AO13" i="4" s="1"/>
  <c r="AF141" i="4"/>
  <c r="AG141" i="4" s="1"/>
  <c r="AI141" i="4" s="1"/>
  <c r="AF142" i="4"/>
  <c r="AG142" i="4" s="1"/>
  <c r="AI142" i="4" s="1"/>
  <c r="AF67" i="4"/>
  <c r="AG67" i="4" s="1"/>
  <c r="AI67" i="4" s="1"/>
  <c r="AF26" i="4"/>
  <c r="AG26" i="4" s="1"/>
  <c r="AI26" i="4" s="1"/>
  <c r="AF38" i="4"/>
  <c r="AG38" i="4" s="1"/>
  <c r="AI38" i="4" s="1"/>
  <c r="AF115" i="4"/>
  <c r="AG115" i="4" s="1"/>
  <c r="AI115" i="4" s="1"/>
  <c r="AF129" i="4"/>
  <c r="AG129" i="4" s="1"/>
  <c r="AI129" i="4" s="1"/>
  <c r="AF116" i="4"/>
  <c r="AG116" i="4" s="1"/>
  <c r="AI116" i="4" s="1"/>
  <c r="AF53" i="4"/>
  <c r="AG53" i="4" s="1"/>
  <c r="AI53" i="4" s="1"/>
  <c r="X9" i="4"/>
  <c r="AF58" i="4"/>
  <c r="AG58" i="4" s="1"/>
  <c r="AI58" i="4" s="1"/>
  <c r="AF17" i="4"/>
  <c r="AG17" i="4" s="1"/>
  <c r="AI17" i="4" s="1"/>
  <c r="AN106" i="4"/>
  <c r="AF106" i="4"/>
  <c r="AG106" i="4" s="1"/>
  <c r="AI106" i="4" s="1"/>
  <c r="AN15" i="4"/>
  <c r="X15" i="4"/>
  <c r="AH377" i="5"/>
  <c r="AN23" i="4"/>
  <c r="X23" i="4"/>
  <c r="AK23" i="4" s="1"/>
  <c r="AL23" i="4" s="1"/>
  <c r="AF41" i="4"/>
  <c r="AG41" i="4" s="1"/>
  <c r="AI41" i="4" s="1"/>
  <c r="AN96" i="4"/>
  <c r="AF96" i="4"/>
  <c r="AG96" i="4" s="1"/>
  <c r="AI96" i="4" s="1"/>
  <c r="X29" i="4"/>
  <c r="AA30" i="4"/>
  <c r="AC30" i="4" s="1"/>
  <c r="AD30" i="4" s="1"/>
  <c r="AN27" i="4"/>
  <c r="X27" i="4"/>
  <c r="AJ27" i="4" s="1"/>
  <c r="AF51" i="4"/>
  <c r="AG51" i="4" s="1"/>
  <c r="AI51" i="4" s="1"/>
  <c r="AT522" i="5"/>
  <c r="AU522" i="5"/>
  <c r="BL522" i="5"/>
  <c r="AU65" i="5"/>
  <c r="AT65" i="5"/>
  <c r="BL65" i="5"/>
  <c r="AU213" i="5"/>
  <c r="AT213" i="5"/>
  <c r="BL213" i="5"/>
  <c r="AT79" i="5"/>
  <c r="AU79" i="5"/>
  <c r="BL79" i="5"/>
  <c r="AT521" i="5"/>
  <c r="AU521" i="5"/>
  <c r="BL521" i="5"/>
  <c r="AU77" i="5"/>
  <c r="AT77" i="5"/>
  <c r="BL77" i="5"/>
  <c r="AU512" i="5"/>
  <c r="AT512" i="5"/>
  <c r="BL512" i="5"/>
  <c r="AT252" i="5"/>
  <c r="AU252" i="5"/>
  <c r="BL252" i="5"/>
  <c r="AT143" i="5"/>
  <c r="AU143" i="5"/>
  <c r="BL143" i="5"/>
  <c r="AU48" i="5"/>
  <c r="AT48" i="5"/>
  <c r="BL48" i="5"/>
  <c r="AT226" i="5"/>
  <c r="AU226" i="5"/>
  <c r="BL226" i="5"/>
  <c r="AN90" i="4"/>
  <c r="AF90" i="4"/>
  <c r="AG90" i="4" s="1"/>
  <c r="AI90" i="4" s="1"/>
  <c r="AT346" i="5"/>
  <c r="AU346" i="5"/>
  <c r="BL346" i="5"/>
  <c r="AU474" i="5"/>
  <c r="AT474" i="5"/>
  <c r="BL474" i="5"/>
  <c r="AT444" i="5"/>
  <c r="AU444" i="5"/>
  <c r="BL444" i="5"/>
  <c r="AT555" i="5"/>
  <c r="AU555" i="5"/>
  <c r="BL555" i="5"/>
  <c r="AT47" i="5"/>
  <c r="AU47" i="5"/>
  <c r="BL47" i="5"/>
  <c r="AT483" i="5"/>
  <c r="AU483" i="5"/>
  <c r="BL483" i="5"/>
  <c r="AU166" i="5"/>
  <c r="AT166" i="5"/>
  <c r="BL166" i="5"/>
  <c r="AT452" i="5"/>
  <c r="AU452" i="5"/>
  <c r="BL452" i="5"/>
  <c r="AN30" i="4"/>
  <c r="AF30" i="4"/>
  <c r="AG30" i="4" s="1"/>
  <c r="AI30" i="4" s="1"/>
  <c r="AT212" i="5"/>
  <c r="AU212" i="5"/>
  <c r="BL212" i="5"/>
  <c r="AU297" i="5"/>
  <c r="AT297" i="5"/>
  <c r="BL297" i="5"/>
  <c r="AT162" i="5"/>
  <c r="AU162" i="5"/>
  <c r="BL162" i="5"/>
  <c r="AU490" i="5"/>
  <c r="AT490" i="5"/>
  <c r="BL490" i="5"/>
  <c r="AU12" i="5"/>
  <c r="AT12" i="5"/>
  <c r="BL12" i="5"/>
  <c r="AT49" i="5"/>
  <c r="AU49" i="5"/>
  <c r="BL49" i="5"/>
  <c r="AT292" i="5"/>
  <c r="AU292" i="5"/>
  <c r="BL292" i="5"/>
  <c r="AF118" i="4"/>
  <c r="AG118" i="4" s="1"/>
  <c r="AI118" i="4" s="1"/>
  <c r="AT22" i="5"/>
  <c r="AU22" i="5"/>
  <c r="BL22" i="5"/>
  <c r="AU7" i="5"/>
  <c r="AT7" i="5"/>
  <c r="B264" i="2" s="1"/>
  <c r="B269" i="2" s="1"/>
  <c r="BL7" i="5"/>
  <c r="AU124" i="5"/>
  <c r="AT124" i="5"/>
  <c r="BL124" i="5"/>
  <c r="AT180" i="5"/>
  <c r="AU180" i="5"/>
  <c r="BL180" i="5"/>
  <c r="AT407" i="5"/>
  <c r="AU407" i="5"/>
  <c r="BL407" i="5"/>
  <c r="AT81" i="5"/>
  <c r="AU81" i="5"/>
  <c r="BL81" i="5"/>
  <c r="AT456" i="5"/>
  <c r="AU456" i="5"/>
  <c r="BL456" i="5"/>
  <c r="AT221" i="5"/>
  <c r="AU221" i="5"/>
  <c r="BL221" i="5"/>
  <c r="AK30" i="4"/>
  <c r="AL30" i="4" s="1"/>
  <c r="AU479" i="5"/>
  <c r="AT479" i="5"/>
  <c r="BL479" i="5"/>
  <c r="AT508" i="5"/>
  <c r="AU508" i="5"/>
  <c r="BL508" i="5"/>
  <c r="AT403" i="5"/>
  <c r="AU403" i="5"/>
  <c r="BL403" i="5"/>
  <c r="AT560" i="5"/>
  <c r="AU560" i="5"/>
  <c r="BL560" i="5"/>
  <c r="AT195" i="5"/>
  <c r="AU195" i="5"/>
  <c r="BL195" i="5"/>
  <c r="AT289" i="5"/>
  <c r="AU289" i="5"/>
  <c r="BL289" i="5"/>
  <c r="AT197" i="5"/>
  <c r="AU197" i="5"/>
  <c r="BL197" i="5"/>
  <c r="AT34" i="5"/>
  <c r="AU34" i="5"/>
  <c r="BL34" i="5"/>
  <c r="AU114" i="5"/>
  <c r="AT114" i="5"/>
  <c r="BL114" i="5"/>
  <c r="AF137" i="4"/>
  <c r="AG137" i="4" s="1"/>
  <c r="AI137" i="4" s="1"/>
  <c r="AT21" i="5"/>
  <c r="AU21" i="5"/>
  <c r="BL21" i="5"/>
  <c r="AT119" i="5"/>
  <c r="AU119" i="5"/>
  <c r="BL119" i="5"/>
  <c r="AT379" i="5"/>
  <c r="AU379" i="5"/>
  <c r="BL379" i="5"/>
  <c r="AU233" i="5"/>
  <c r="AT233" i="5"/>
  <c r="BL233" i="5"/>
  <c r="AU69" i="5"/>
  <c r="AT69" i="5"/>
  <c r="BL69" i="5"/>
  <c r="AT409" i="5"/>
  <c r="AU409" i="5"/>
  <c r="BL409" i="5"/>
  <c r="AT107" i="5"/>
  <c r="AU107" i="5"/>
  <c r="BL107" i="5"/>
  <c r="AT498" i="5"/>
  <c r="AU498" i="5"/>
  <c r="BL498" i="5"/>
  <c r="AT458" i="5"/>
  <c r="AU458" i="5"/>
  <c r="BL458" i="5"/>
  <c r="AT319" i="5"/>
  <c r="AU319" i="5"/>
  <c r="BL319" i="5"/>
  <c r="AU326" i="5"/>
  <c r="AT326" i="5"/>
  <c r="BL326" i="5"/>
  <c r="AU362" i="5"/>
  <c r="AT362" i="5"/>
  <c r="BL362" i="5"/>
  <c r="AU220" i="5"/>
  <c r="AT220" i="5"/>
  <c r="BL220" i="5"/>
  <c r="AT159" i="5"/>
  <c r="AU159" i="5"/>
  <c r="BL159" i="5"/>
  <c r="AT321" i="5"/>
  <c r="AU321" i="5"/>
  <c r="BL321" i="5"/>
  <c r="AT55" i="5"/>
  <c r="AU55" i="5"/>
  <c r="BL55" i="5"/>
  <c r="AU251" i="5"/>
  <c r="AT251" i="5"/>
  <c r="BL251" i="5"/>
  <c r="BL470" i="5"/>
  <c r="AT470" i="5"/>
  <c r="AU470" i="5"/>
  <c r="AT375" i="5"/>
  <c r="AU375" i="5"/>
  <c r="BL375" i="5"/>
  <c r="AT547" i="5"/>
  <c r="AU547" i="5"/>
  <c r="BL547" i="5"/>
  <c r="AT438" i="5"/>
  <c r="AU438" i="5"/>
  <c r="BL438" i="5"/>
  <c r="AU471" i="5"/>
  <c r="AT471" i="5"/>
  <c r="BL471" i="5"/>
  <c r="AT308" i="5"/>
  <c r="AU308" i="5"/>
  <c r="BL308" i="5"/>
  <c r="AU496" i="5"/>
  <c r="AT496" i="5"/>
  <c r="BL496" i="5"/>
  <c r="AU93" i="5"/>
  <c r="AT93" i="5"/>
  <c r="BL93" i="5"/>
  <c r="AU56" i="5"/>
  <c r="AT56" i="5"/>
  <c r="BL56" i="5"/>
  <c r="R236" i="5"/>
  <c r="S236" i="5"/>
  <c r="R72" i="5"/>
  <c r="S72" i="5"/>
  <c r="R330" i="5"/>
  <c r="S330" i="5"/>
  <c r="S187" i="5"/>
  <c r="R187" i="5"/>
  <c r="R418" i="5"/>
  <c r="S418" i="5"/>
  <c r="R8" i="5"/>
  <c r="S8" i="5"/>
  <c r="S310" i="5"/>
  <c r="R310" i="5"/>
  <c r="R506" i="5"/>
  <c r="S506" i="5"/>
  <c r="R438" i="5"/>
  <c r="S438" i="5"/>
  <c r="R334" i="5"/>
  <c r="S334" i="5"/>
  <c r="R483" i="5"/>
  <c r="S483" i="5"/>
  <c r="R542" i="5"/>
  <c r="S542" i="5"/>
  <c r="S179" i="5"/>
  <c r="R179" i="5"/>
  <c r="R450" i="5"/>
  <c r="S450" i="5"/>
  <c r="R332" i="5"/>
  <c r="S332" i="5"/>
  <c r="R316" i="5"/>
  <c r="S316" i="5"/>
  <c r="S249" i="5"/>
  <c r="R249" i="5"/>
  <c r="R101" i="5"/>
  <c r="S101" i="5"/>
  <c r="S76" i="5"/>
  <c r="R76" i="5"/>
  <c r="S351" i="5"/>
  <c r="R351" i="5"/>
  <c r="R166" i="5"/>
  <c r="S166" i="5"/>
  <c r="S445" i="5"/>
  <c r="R445" i="5"/>
  <c r="R520" i="5"/>
  <c r="S520" i="5"/>
  <c r="R208" i="5"/>
  <c r="S208" i="5"/>
  <c r="R177" i="5"/>
  <c r="S177" i="5"/>
  <c r="R295" i="5"/>
  <c r="S295" i="5"/>
  <c r="R41" i="5"/>
  <c r="S41" i="5"/>
  <c r="R507" i="5"/>
  <c r="S507" i="5"/>
  <c r="R105" i="5"/>
  <c r="S105" i="5"/>
  <c r="S20" i="5"/>
  <c r="R20" i="5"/>
  <c r="S503" i="5"/>
  <c r="R503" i="5"/>
  <c r="S147" i="5"/>
  <c r="R147" i="5"/>
  <c r="S432" i="5"/>
  <c r="R432" i="5"/>
  <c r="R270" i="5"/>
  <c r="S270" i="5"/>
  <c r="S462" i="5"/>
  <c r="R462" i="5"/>
  <c r="R70" i="5"/>
  <c r="S70" i="5"/>
  <c r="R326" i="5"/>
  <c r="S326" i="5"/>
  <c r="S323" i="5"/>
  <c r="R323" i="5"/>
  <c r="S241" i="5"/>
  <c r="R241" i="5"/>
  <c r="R44" i="5"/>
  <c r="S44" i="5"/>
  <c r="S40" i="5"/>
  <c r="R40" i="5"/>
  <c r="S203" i="5"/>
  <c r="R203" i="5"/>
  <c r="R290" i="5"/>
  <c r="S290" i="5"/>
  <c r="R265" i="5"/>
  <c r="S265" i="5"/>
  <c r="S433" i="5"/>
  <c r="R433" i="5"/>
  <c r="R90" i="5"/>
  <c r="S90" i="5"/>
  <c r="S425" i="5"/>
  <c r="R425" i="5"/>
  <c r="R375" i="5"/>
  <c r="S375" i="5"/>
  <c r="S219" i="5"/>
  <c r="R219" i="5"/>
  <c r="R256" i="5"/>
  <c r="S256" i="5"/>
  <c r="S155" i="5"/>
  <c r="R155" i="5"/>
  <c r="R471" i="5"/>
  <c r="S471" i="5"/>
  <c r="R259" i="5"/>
  <c r="S259" i="5"/>
  <c r="S117" i="5"/>
  <c r="R117" i="5"/>
  <c r="R299" i="5"/>
  <c r="S299" i="5"/>
  <c r="R487" i="5"/>
  <c r="S487" i="5"/>
  <c r="R55" i="5"/>
  <c r="S55" i="5"/>
  <c r="R544" i="5"/>
  <c r="S544" i="5"/>
  <c r="S156" i="5"/>
  <c r="R156" i="5"/>
  <c r="R307" i="5"/>
  <c r="S307" i="5"/>
  <c r="R174" i="5"/>
  <c r="S174" i="5"/>
  <c r="R522" i="5"/>
  <c r="S522" i="5"/>
  <c r="S228" i="5"/>
  <c r="R228" i="5"/>
  <c r="R546" i="5"/>
  <c r="S546" i="5"/>
  <c r="R253" i="5"/>
  <c r="S253" i="5"/>
  <c r="R84" i="5"/>
  <c r="S84" i="5"/>
  <c r="R188" i="5"/>
  <c r="S188" i="5"/>
  <c r="S230" i="5"/>
  <c r="R230" i="5"/>
  <c r="AF127" i="4"/>
  <c r="AG127" i="4" s="1"/>
  <c r="AI127" i="4" s="1"/>
  <c r="AT412" i="5"/>
  <c r="AU412" i="5"/>
  <c r="BL412" i="5"/>
  <c r="AJ45" i="4"/>
  <c r="AK45" i="4"/>
  <c r="AL45" i="4" s="1"/>
  <c r="AU357" i="5"/>
  <c r="AT357" i="5"/>
  <c r="BL357" i="5"/>
  <c r="AU88" i="5"/>
  <c r="AT88" i="5"/>
  <c r="BL88" i="5"/>
  <c r="AU556" i="5"/>
  <c r="AT556" i="5"/>
  <c r="BL556" i="5"/>
  <c r="AT287" i="5"/>
  <c r="AU287" i="5"/>
  <c r="BL287" i="5"/>
  <c r="AT450" i="5"/>
  <c r="AU450" i="5"/>
  <c r="BL450" i="5"/>
  <c r="AU307" i="5"/>
  <c r="AT307" i="5"/>
  <c r="BL307" i="5"/>
  <c r="AT43" i="5"/>
  <c r="AU43" i="5"/>
  <c r="BL43" i="5"/>
  <c r="AU495" i="5"/>
  <c r="AT495" i="5"/>
  <c r="BL495" i="5"/>
  <c r="AQ45" i="4"/>
  <c r="AC45" i="4"/>
  <c r="AD45" i="4" s="1"/>
  <c r="AP45" i="4"/>
  <c r="AT435" i="5"/>
  <c r="AU435" i="5"/>
  <c r="BL435" i="5"/>
  <c r="AU80" i="5"/>
  <c r="AT80" i="5"/>
  <c r="BL80" i="5"/>
  <c r="AU439" i="5"/>
  <c r="AT439" i="5"/>
  <c r="BL439" i="5"/>
  <c r="AU355" i="5"/>
  <c r="AT355" i="5"/>
  <c r="BL355" i="5"/>
  <c r="AT462" i="5"/>
  <c r="AU462" i="5"/>
  <c r="BL462" i="5"/>
  <c r="AT523" i="5"/>
  <c r="AU523" i="5"/>
  <c r="BL523" i="5"/>
  <c r="AU30" i="5"/>
  <c r="AT30" i="5"/>
  <c r="BL30" i="5"/>
  <c r="AU550" i="5"/>
  <c r="AT550" i="5"/>
  <c r="BL550" i="5"/>
  <c r="AU299" i="5"/>
  <c r="AT299" i="5"/>
  <c r="BL299" i="5"/>
  <c r="AN135" i="4"/>
  <c r="AF135" i="4"/>
  <c r="AG135" i="4" s="1"/>
  <c r="AI135" i="4" s="1"/>
  <c r="AU35" i="5"/>
  <c r="AT35" i="5"/>
  <c r="BL35" i="5"/>
  <c r="AU71" i="5"/>
  <c r="AT71" i="5"/>
  <c r="BL71" i="5"/>
  <c r="AT155" i="5"/>
  <c r="AU155" i="5"/>
  <c r="BL155" i="5"/>
  <c r="AT241" i="5"/>
  <c r="AU241" i="5"/>
  <c r="BL241" i="5"/>
  <c r="AU194" i="5"/>
  <c r="AT194" i="5"/>
  <c r="BL194" i="5"/>
  <c r="AT185" i="5"/>
  <c r="AU185" i="5"/>
  <c r="BL185" i="5"/>
  <c r="AT467" i="5"/>
  <c r="AU467" i="5"/>
  <c r="BL467" i="5"/>
  <c r="AU325" i="5"/>
  <c r="AT325" i="5"/>
  <c r="BL325" i="5"/>
  <c r="AQ63" i="4"/>
  <c r="AC63" i="4"/>
  <c r="AD63" i="4" s="1"/>
  <c r="AP63" i="4"/>
  <c r="AT371" i="5"/>
  <c r="AU371" i="5"/>
  <c r="BL371" i="5"/>
  <c r="AU13" i="5"/>
  <c r="AT13" i="5"/>
  <c r="BL13" i="5"/>
  <c r="AT215" i="5"/>
  <c r="AU215" i="5"/>
  <c r="BL215" i="5"/>
  <c r="AU172" i="5"/>
  <c r="AT172" i="5"/>
  <c r="BL172" i="5"/>
  <c r="AU273" i="5"/>
  <c r="AT273" i="5"/>
  <c r="BL273" i="5"/>
  <c r="AU392" i="5"/>
  <c r="AT392" i="5"/>
  <c r="BL392" i="5"/>
  <c r="AT148" i="5"/>
  <c r="AU148" i="5"/>
  <c r="BL148" i="5"/>
  <c r="AT454" i="5"/>
  <c r="AU454" i="5"/>
  <c r="BL454" i="5"/>
  <c r="AU437" i="5"/>
  <c r="AT437" i="5"/>
  <c r="BL437" i="5"/>
  <c r="AT92" i="5"/>
  <c r="AU92" i="5"/>
  <c r="BL92" i="5"/>
  <c r="AU223" i="5"/>
  <c r="AT223" i="5"/>
  <c r="BL223" i="5"/>
  <c r="AU397" i="5"/>
  <c r="AT397" i="5"/>
  <c r="BL397" i="5"/>
  <c r="AU184" i="5"/>
  <c r="AT184" i="5"/>
  <c r="BL184" i="5"/>
  <c r="AU260" i="5"/>
  <c r="AT260" i="5"/>
  <c r="BL260" i="5"/>
  <c r="AU242" i="5"/>
  <c r="AT242" i="5"/>
  <c r="BL242" i="5"/>
  <c r="AU36" i="5"/>
  <c r="AT36" i="5"/>
  <c r="BL36" i="5"/>
  <c r="AU74" i="5"/>
  <c r="AT74" i="5"/>
  <c r="BL74" i="5"/>
  <c r="AT152" i="5"/>
  <c r="AU152" i="5"/>
  <c r="BL152" i="5"/>
  <c r="AT210" i="5"/>
  <c r="AU210" i="5"/>
  <c r="BL210" i="5"/>
  <c r="AU506" i="5"/>
  <c r="AT506" i="5"/>
  <c r="BL506" i="5"/>
  <c r="AU232" i="5"/>
  <c r="AT232" i="5"/>
  <c r="BL232" i="5"/>
  <c r="AT306" i="5"/>
  <c r="AU306" i="5"/>
  <c r="BL306" i="5"/>
  <c r="AT364" i="5"/>
  <c r="AU364" i="5"/>
  <c r="BL364" i="5"/>
  <c r="AT339" i="5"/>
  <c r="AU339" i="5"/>
  <c r="BL339" i="5"/>
  <c r="AT206" i="5"/>
  <c r="AU206" i="5"/>
  <c r="BL206" i="5"/>
  <c r="AU131" i="5"/>
  <c r="AT131" i="5"/>
  <c r="BL131" i="5"/>
  <c r="AT136" i="5"/>
  <c r="AU136" i="5"/>
  <c r="BL136" i="5"/>
  <c r="AF120" i="4"/>
  <c r="AG120" i="4" s="1"/>
  <c r="AI120" i="4" s="1"/>
  <c r="AU455" i="5"/>
  <c r="AT455" i="5"/>
  <c r="BL455" i="5"/>
  <c r="AU175" i="5"/>
  <c r="AT175" i="5"/>
  <c r="BL175" i="5"/>
  <c r="AU278" i="5"/>
  <c r="AT278" i="5"/>
  <c r="BL278" i="5"/>
  <c r="AU147" i="5"/>
  <c r="AT147" i="5"/>
  <c r="BL147" i="5"/>
  <c r="AU481" i="5"/>
  <c r="AT481" i="5"/>
  <c r="BL481" i="5"/>
  <c r="AT345" i="5"/>
  <c r="AU345" i="5"/>
  <c r="BL345" i="5"/>
  <c r="AT137" i="5"/>
  <c r="AU137" i="5"/>
  <c r="BL137" i="5"/>
  <c r="AU451" i="5"/>
  <c r="AT451" i="5"/>
  <c r="BL451" i="5"/>
  <c r="AF24" i="4"/>
  <c r="AG24" i="4" s="1"/>
  <c r="AI24" i="4" s="1"/>
  <c r="AU234" i="5"/>
  <c r="AT234" i="5"/>
  <c r="BL234" i="5"/>
  <c r="AT453" i="5"/>
  <c r="AU453" i="5"/>
  <c r="BL453" i="5"/>
  <c r="AT312" i="5"/>
  <c r="AU312" i="5"/>
  <c r="BL312" i="5"/>
  <c r="AT491" i="5"/>
  <c r="AU491" i="5"/>
  <c r="BL491" i="5"/>
  <c r="AU352" i="5"/>
  <c r="AT352" i="5"/>
  <c r="BL352" i="5"/>
  <c r="AT217" i="5"/>
  <c r="AU217" i="5"/>
  <c r="BL217" i="5"/>
  <c r="AU245" i="5"/>
  <c r="AT245" i="5"/>
  <c r="BL245" i="5"/>
  <c r="AT525" i="5"/>
  <c r="AU525" i="5"/>
  <c r="BL525" i="5"/>
  <c r="AU500" i="5"/>
  <c r="AT500" i="5"/>
  <c r="BL500" i="5"/>
  <c r="R137" i="5"/>
  <c r="S137" i="5"/>
  <c r="R431" i="5"/>
  <c r="S431" i="5"/>
  <c r="R73" i="5"/>
  <c r="S73" i="5"/>
  <c r="R313" i="5"/>
  <c r="S313" i="5"/>
  <c r="S27" i="5"/>
  <c r="R27" i="5"/>
  <c r="S170" i="5"/>
  <c r="R170" i="5"/>
  <c r="S538" i="5"/>
  <c r="R538" i="5"/>
  <c r="S89" i="5"/>
  <c r="R89" i="5"/>
  <c r="S260" i="5"/>
  <c r="R260" i="5"/>
  <c r="S458" i="5"/>
  <c r="R458" i="5"/>
  <c r="S327" i="5"/>
  <c r="R327" i="5"/>
  <c r="S457" i="5"/>
  <c r="R457" i="5"/>
  <c r="R97" i="5"/>
  <c r="S97" i="5"/>
  <c r="R558" i="5"/>
  <c r="S558" i="5"/>
  <c r="S521" i="5"/>
  <c r="R521" i="5"/>
  <c r="R409" i="5"/>
  <c r="S409" i="5"/>
  <c r="R441" i="5"/>
  <c r="S441" i="5"/>
  <c r="R436" i="5"/>
  <c r="S436" i="5"/>
  <c r="R508" i="5"/>
  <c r="S508" i="5"/>
  <c r="S394" i="5"/>
  <c r="R394" i="5"/>
  <c r="S495" i="5"/>
  <c r="R495" i="5"/>
  <c r="R384" i="5"/>
  <c r="S384" i="5"/>
  <c r="S193" i="5"/>
  <c r="R193" i="5"/>
  <c r="S250" i="5"/>
  <c r="R250" i="5"/>
  <c r="R235" i="5"/>
  <c r="S235" i="5"/>
  <c r="R317" i="5"/>
  <c r="S317" i="5"/>
  <c r="R131" i="5"/>
  <c r="S131" i="5"/>
  <c r="S108" i="5"/>
  <c r="R108" i="5"/>
  <c r="R217" i="5"/>
  <c r="S217" i="5"/>
  <c r="S359" i="5"/>
  <c r="R359" i="5"/>
  <c r="S201" i="5"/>
  <c r="R201" i="5"/>
  <c r="S549" i="5"/>
  <c r="R549" i="5"/>
  <c r="R267" i="5"/>
  <c r="S267" i="5"/>
  <c r="R354" i="5"/>
  <c r="S354" i="5"/>
  <c r="S335" i="5"/>
  <c r="R335" i="5"/>
  <c r="S50" i="5"/>
  <c r="R50" i="5"/>
  <c r="S347" i="5"/>
  <c r="R347" i="5"/>
  <c r="S115" i="5"/>
  <c r="R115" i="5"/>
  <c r="R518" i="5"/>
  <c r="S518" i="5"/>
  <c r="R238" i="5"/>
  <c r="S238" i="5"/>
  <c r="S345" i="5"/>
  <c r="R345" i="5"/>
  <c r="R488" i="5"/>
  <c r="S488" i="5"/>
  <c r="R429" i="5"/>
  <c r="S429" i="5"/>
  <c r="R393" i="5"/>
  <c r="S393" i="5"/>
  <c r="S479" i="5"/>
  <c r="R479" i="5"/>
  <c r="S385" i="5"/>
  <c r="R385" i="5"/>
  <c r="S35" i="5"/>
  <c r="R35" i="5"/>
  <c r="S51" i="5"/>
  <c r="R51" i="5"/>
  <c r="S145" i="5"/>
  <c r="R145" i="5"/>
  <c r="R167" i="5"/>
  <c r="S167" i="5"/>
  <c r="R213" i="5"/>
  <c r="S213" i="5"/>
  <c r="S42" i="5"/>
  <c r="R42" i="5"/>
  <c r="R424" i="5"/>
  <c r="S424" i="5"/>
  <c r="S420" i="5"/>
  <c r="R420" i="5"/>
  <c r="S490" i="5"/>
  <c r="R490" i="5"/>
  <c r="S311" i="5"/>
  <c r="R311" i="5"/>
  <c r="R182" i="5"/>
  <c r="S182" i="5"/>
  <c r="R319" i="5"/>
  <c r="S319" i="5"/>
  <c r="R378" i="5"/>
  <c r="S378" i="5"/>
  <c r="S291" i="5"/>
  <c r="R291" i="5"/>
  <c r="R139" i="5"/>
  <c r="S139" i="5"/>
  <c r="S165" i="5"/>
  <c r="R165" i="5"/>
  <c r="R467" i="5"/>
  <c r="S467" i="5"/>
  <c r="R144" i="5"/>
  <c r="S144" i="5"/>
  <c r="R245" i="5"/>
  <c r="S245" i="5"/>
  <c r="S477" i="5"/>
  <c r="R477" i="5"/>
  <c r="S86" i="5"/>
  <c r="R86" i="5"/>
  <c r="AT132" i="5"/>
  <c r="AU132" i="5"/>
  <c r="BL132" i="5"/>
  <c r="AT484" i="5"/>
  <c r="AU484" i="5"/>
  <c r="BL484" i="5"/>
  <c r="AU135" i="5"/>
  <c r="AT135" i="5"/>
  <c r="BL135" i="5"/>
  <c r="AT356" i="5"/>
  <c r="AU356" i="5"/>
  <c r="BL356" i="5"/>
  <c r="AU395" i="5"/>
  <c r="AT395" i="5"/>
  <c r="BL395" i="5"/>
  <c r="AU259" i="5"/>
  <c r="AT259" i="5"/>
  <c r="BL259" i="5"/>
  <c r="AF85" i="4"/>
  <c r="AG85" i="4" s="1"/>
  <c r="AI85" i="4" s="1"/>
  <c r="AT129" i="5"/>
  <c r="AU129" i="5"/>
  <c r="BL129" i="5"/>
  <c r="AU67" i="5"/>
  <c r="AT67" i="5"/>
  <c r="BL67" i="5"/>
  <c r="AT359" i="5"/>
  <c r="AU359" i="5"/>
  <c r="BL359" i="5"/>
  <c r="AT164" i="5"/>
  <c r="AU164" i="5"/>
  <c r="BL164" i="5"/>
  <c r="AT199" i="5"/>
  <c r="AU199" i="5"/>
  <c r="BL199" i="5"/>
  <c r="AT254" i="5"/>
  <c r="AU254" i="5"/>
  <c r="BL254" i="5"/>
  <c r="AT318" i="5"/>
  <c r="AU318" i="5"/>
  <c r="BL318" i="5"/>
  <c r="AT408" i="5"/>
  <c r="AU408" i="5"/>
  <c r="BL408" i="5"/>
  <c r="AU237" i="5"/>
  <c r="AT237" i="5"/>
  <c r="BL237" i="5"/>
  <c r="AN18" i="4"/>
  <c r="AF18" i="4"/>
  <c r="AG18" i="4" s="1"/>
  <c r="AI18" i="4" s="1"/>
  <c r="X18" i="4"/>
  <c r="AJ18" i="4" s="1"/>
  <c r="AU156" i="5"/>
  <c r="BL156" i="5"/>
  <c r="AT156" i="5"/>
  <c r="AT87" i="5"/>
  <c r="AU87" i="5"/>
  <c r="BL87" i="5"/>
  <c r="AU549" i="5"/>
  <c r="AT549" i="5"/>
  <c r="BL549" i="5"/>
  <c r="AU347" i="5"/>
  <c r="AT347" i="5"/>
  <c r="BL347" i="5"/>
  <c r="AT410" i="5"/>
  <c r="AU410" i="5"/>
  <c r="BL410" i="5"/>
  <c r="AT99" i="5"/>
  <c r="AU99" i="5"/>
  <c r="BL99" i="5"/>
  <c r="AU459" i="5"/>
  <c r="AT459" i="5"/>
  <c r="BL459" i="5"/>
  <c r="AT140" i="5"/>
  <c r="AU140" i="5"/>
  <c r="BL140" i="5"/>
  <c r="AU388" i="5"/>
  <c r="AT388" i="5"/>
  <c r="BL388" i="5"/>
  <c r="AT19" i="5"/>
  <c r="AU19" i="5"/>
  <c r="BL19" i="5"/>
  <c r="AU86" i="5"/>
  <c r="AT86" i="5"/>
  <c r="BL86" i="5"/>
  <c r="AT45" i="5"/>
  <c r="AU45" i="5"/>
  <c r="BL45" i="5"/>
  <c r="AT449" i="5"/>
  <c r="AU449" i="5"/>
  <c r="BL449" i="5"/>
  <c r="AT127" i="5"/>
  <c r="AU127" i="5"/>
  <c r="BL127" i="5"/>
  <c r="AU72" i="5"/>
  <c r="AT72" i="5"/>
  <c r="BL72" i="5"/>
  <c r="AU513" i="5"/>
  <c r="AT513" i="5"/>
  <c r="BL513" i="5"/>
  <c r="AU501" i="5"/>
  <c r="AT501" i="5"/>
  <c r="BL501" i="5"/>
  <c r="AU133" i="5"/>
  <c r="AT133" i="5"/>
  <c r="BL133" i="5"/>
  <c r="AU211" i="5"/>
  <c r="AT211" i="5"/>
  <c r="BL211" i="5"/>
  <c r="AU275" i="5"/>
  <c r="AT275" i="5"/>
  <c r="BL275" i="5"/>
  <c r="AU507" i="5"/>
  <c r="AT507" i="5"/>
  <c r="BL507" i="5"/>
  <c r="AU33" i="5"/>
  <c r="AT33" i="5"/>
  <c r="BL33" i="5"/>
  <c r="AT78" i="5"/>
  <c r="AU78" i="5"/>
  <c r="BL78" i="5"/>
  <c r="AT225" i="5"/>
  <c r="AU225" i="5"/>
  <c r="BL225" i="5"/>
  <c r="AT178" i="5"/>
  <c r="AU178" i="5"/>
  <c r="BL178" i="5"/>
  <c r="AU27" i="5"/>
  <c r="AT27" i="5"/>
  <c r="BL27" i="5"/>
  <c r="AU494" i="5"/>
  <c r="AT494" i="5"/>
  <c r="BL494" i="5"/>
  <c r="AT149" i="5"/>
  <c r="BL149" i="5"/>
  <c r="AU149" i="5"/>
  <c r="AT383" i="5"/>
  <c r="AU383" i="5"/>
  <c r="BL383" i="5"/>
  <c r="AT73" i="5"/>
  <c r="AU73" i="5"/>
  <c r="BL73" i="5"/>
  <c r="AU222" i="5"/>
  <c r="AT222" i="5"/>
  <c r="BL222" i="5"/>
  <c r="AT531" i="5"/>
  <c r="AU531" i="5"/>
  <c r="BL531" i="5"/>
  <c r="AT63" i="5"/>
  <c r="AU63" i="5"/>
  <c r="BL63" i="5"/>
  <c r="AU311" i="5"/>
  <c r="AT311" i="5"/>
  <c r="BL311" i="5"/>
  <c r="AU268" i="5"/>
  <c r="AT268" i="5"/>
  <c r="BL268" i="5"/>
  <c r="AU440" i="5"/>
  <c r="AT440" i="5"/>
  <c r="BL440" i="5"/>
  <c r="AT60" i="5"/>
  <c r="AU60" i="5"/>
  <c r="BL60" i="5"/>
  <c r="AT120" i="5"/>
  <c r="AU120" i="5"/>
  <c r="BL120" i="5"/>
  <c r="AT348" i="5"/>
  <c r="AU348" i="5"/>
  <c r="BL348" i="5"/>
  <c r="AU554" i="5"/>
  <c r="AT554" i="5"/>
  <c r="BL554" i="5"/>
  <c r="AU421" i="5"/>
  <c r="AT421" i="5"/>
  <c r="BL421" i="5"/>
  <c r="AU424" i="5"/>
  <c r="AT424" i="5"/>
  <c r="BL424" i="5"/>
  <c r="AT468" i="5"/>
  <c r="AU468" i="5"/>
  <c r="BL468" i="5"/>
  <c r="AT415" i="5"/>
  <c r="AU415" i="5"/>
  <c r="BL415" i="5"/>
  <c r="AU369" i="5"/>
  <c r="AT369" i="5"/>
  <c r="BL369" i="5"/>
  <c r="AT160" i="5"/>
  <c r="AU160" i="5"/>
  <c r="BL160" i="5"/>
  <c r="AT286" i="5"/>
  <c r="AU286" i="5"/>
  <c r="BL286" i="5"/>
  <c r="AT186" i="5"/>
  <c r="AU186" i="5"/>
  <c r="BL186" i="5"/>
  <c r="AU393" i="5"/>
  <c r="AT393" i="5"/>
  <c r="BL393" i="5"/>
  <c r="AU191" i="5"/>
  <c r="AT191" i="5"/>
  <c r="BL191" i="5"/>
  <c r="AU394" i="5"/>
  <c r="AT394" i="5"/>
  <c r="BL394" i="5"/>
  <c r="AU405" i="5"/>
  <c r="AT405" i="5"/>
  <c r="BL405" i="5"/>
  <c r="Q11" i="5"/>
  <c r="AM11" i="5"/>
  <c r="T11" i="5"/>
  <c r="W11" i="5"/>
  <c r="BC11" i="5"/>
  <c r="AJ11" i="5"/>
  <c r="AP11" i="5"/>
  <c r="AZ11" i="5"/>
  <c r="Z11" i="5"/>
  <c r="AW11" i="5"/>
  <c r="R480" i="5"/>
  <c r="S480" i="5"/>
  <c r="R141" i="5"/>
  <c r="S141" i="5"/>
  <c r="R389" i="5"/>
  <c r="S389" i="5"/>
  <c r="S308" i="5"/>
  <c r="R308" i="5"/>
  <c r="S45" i="5"/>
  <c r="R45" i="5"/>
  <c r="R292" i="5"/>
  <c r="S292" i="5"/>
  <c r="S110" i="5"/>
  <c r="R110" i="5"/>
  <c r="S220" i="5"/>
  <c r="R220" i="5"/>
  <c r="R207" i="5"/>
  <c r="S207" i="5"/>
  <c r="S113" i="5"/>
  <c r="R113" i="5"/>
  <c r="S257" i="5"/>
  <c r="R257" i="5"/>
  <c r="R340" i="5"/>
  <c r="S340" i="5"/>
  <c r="R197" i="5"/>
  <c r="S197" i="5"/>
  <c r="S547" i="5"/>
  <c r="R547" i="5"/>
  <c r="S211" i="5"/>
  <c r="R211" i="5"/>
  <c r="S287" i="5"/>
  <c r="R287" i="5"/>
  <c r="S416" i="5"/>
  <c r="R416" i="5"/>
  <c r="S523" i="5"/>
  <c r="R523" i="5"/>
  <c r="R111" i="5"/>
  <c r="S111" i="5"/>
  <c r="R380" i="5"/>
  <c r="S380" i="5"/>
  <c r="S94" i="5"/>
  <c r="R94" i="5"/>
  <c r="S224" i="5"/>
  <c r="R224" i="5"/>
  <c r="S276" i="5"/>
  <c r="R276" i="5"/>
  <c r="S151" i="5"/>
  <c r="R151" i="5"/>
  <c r="R26" i="5"/>
  <c r="S26" i="5"/>
  <c r="S524" i="5"/>
  <c r="R524" i="5"/>
  <c r="R212" i="5"/>
  <c r="S212" i="5"/>
  <c r="R48" i="5"/>
  <c r="S48" i="5"/>
  <c r="R88" i="5"/>
  <c r="S88" i="5"/>
  <c r="R136" i="5"/>
  <c r="S136" i="5"/>
  <c r="R500" i="5"/>
  <c r="S500" i="5"/>
  <c r="S497" i="5"/>
  <c r="R497" i="5"/>
  <c r="S176" i="5"/>
  <c r="R176" i="5"/>
  <c r="R494" i="5"/>
  <c r="S494" i="5"/>
  <c r="R413" i="5"/>
  <c r="S413" i="5"/>
  <c r="R513" i="5"/>
  <c r="S513" i="5"/>
  <c r="S411" i="5"/>
  <c r="R411" i="5"/>
  <c r="R442" i="5"/>
  <c r="S442" i="5"/>
  <c r="R412" i="5"/>
  <c r="S412" i="5"/>
  <c r="R229" i="5"/>
  <c r="S229" i="5"/>
  <c r="R186" i="5"/>
  <c r="S186" i="5"/>
  <c r="S551" i="5"/>
  <c r="R551" i="5"/>
  <c r="R315" i="5"/>
  <c r="S315" i="5"/>
  <c r="R281" i="5"/>
  <c r="S281" i="5"/>
  <c r="S184" i="5"/>
  <c r="R184" i="5"/>
  <c r="S473" i="5"/>
  <c r="R473" i="5"/>
  <c r="S361" i="5"/>
  <c r="R361" i="5"/>
  <c r="R550" i="5"/>
  <c r="S550" i="5"/>
  <c r="R34" i="5"/>
  <c r="S34" i="5"/>
  <c r="S246" i="5"/>
  <c r="R246" i="5"/>
  <c r="R369" i="5"/>
  <c r="S369" i="5"/>
  <c r="R199" i="5"/>
  <c r="S199" i="5"/>
  <c r="R455" i="5"/>
  <c r="S455" i="5"/>
  <c r="R66" i="5"/>
  <c r="S66" i="5"/>
  <c r="R63" i="5"/>
  <c r="S63" i="5"/>
  <c r="S451" i="5"/>
  <c r="R451" i="5"/>
  <c r="S333" i="5"/>
  <c r="R333" i="5"/>
  <c r="R360" i="5"/>
  <c r="S360" i="5"/>
  <c r="R312" i="5"/>
  <c r="S312" i="5"/>
  <c r="S286" i="5"/>
  <c r="R286" i="5"/>
  <c r="S178" i="5"/>
  <c r="R178" i="5"/>
  <c r="R297" i="5"/>
  <c r="S297" i="5"/>
  <c r="S36" i="5"/>
  <c r="R36" i="5"/>
  <c r="R67" i="5"/>
  <c r="S67" i="5"/>
  <c r="S537" i="5"/>
  <c r="R537" i="5"/>
  <c r="S443" i="5"/>
  <c r="R443" i="5"/>
  <c r="R198" i="5"/>
  <c r="S198" i="5"/>
  <c r="S321" i="5"/>
  <c r="R321" i="5"/>
  <c r="AU256" i="5"/>
  <c r="AT256" i="5"/>
  <c r="BL256" i="5"/>
  <c r="AU544" i="5"/>
  <c r="AT544" i="5"/>
  <c r="BL544" i="5"/>
  <c r="AU168" i="5"/>
  <c r="AT168" i="5"/>
  <c r="BL168" i="5"/>
  <c r="AU91" i="5"/>
  <c r="AT91" i="5"/>
  <c r="BL91" i="5"/>
  <c r="AN54" i="4"/>
  <c r="AF54" i="4"/>
  <c r="AG54" i="4" s="1"/>
  <c r="AI54" i="4" s="1"/>
  <c r="AN84" i="4"/>
  <c r="AF84" i="4"/>
  <c r="AG84" i="4" s="1"/>
  <c r="AI84" i="4" s="1"/>
  <c r="AN77" i="4"/>
  <c r="AF77" i="4"/>
  <c r="AG77" i="4" s="1"/>
  <c r="AI77" i="4" s="1"/>
  <c r="AU285" i="5"/>
  <c r="AT285" i="5"/>
  <c r="BL285" i="5"/>
  <c r="AT100" i="5"/>
  <c r="AU100" i="5"/>
  <c r="BL100" i="5"/>
  <c r="AU423" i="5"/>
  <c r="BL423" i="5"/>
  <c r="AT423" i="5"/>
  <c r="AU253" i="5"/>
  <c r="AT253" i="5"/>
  <c r="BL253" i="5"/>
  <c r="AU317" i="5"/>
  <c r="AT317" i="5"/>
  <c r="BL317" i="5"/>
  <c r="AT349" i="5"/>
  <c r="AU349" i="5"/>
  <c r="BL349" i="5"/>
  <c r="AU277" i="5"/>
  <c r="AT277" i="5"/>
  <c r="BL277" i="5"/>
  <c r="AU543" i="5"/>
  <c r="AT543" i="5"/>
  <c r="BL543" i="5"/>
  <c r="AT434" i="5"/>
  <c r="AU434" i="5"/>
  <c r="BL434" i="5"/>
  <c r="AU353" i="5"/>
  <c r="AT353" i="5"/>
  <c r="BL353" i="5"/>
  <c r="AU442" i="5"/>
  <c r="AT442" i="5"/>
  <c r="BL442" i="5"/>
  <c r="AT446" i="5"/>
  <c r="AU446" i="5"/>
  <c r="BL446" i="5"/>
  <c r="AU295" i="5"/>
  <c r="AT295" i="5"/>
  <c r="BL295" i="5"/>
  <c r="AU75" i="5"/>
  <c r="AT75" i="5"/>
  <c r="BL75" i="5"/>
  <c r="AT158" i="5"/>
  <c r="AU158" i="5"/>
  <c r="BL158" i="5"/>
  <c r="AU373" i="5"/>
  <c r="AT373" i="5"/>
  <c r="BL373" i="5"/>
  <c r="AT229" i="5"/>
  <c r="AU229" i="5"/>
  <c r="BL229" i="5"/>
  <c r="AT151" i="5"/>
  <c r="AU151" i="5"/>
  <c r="BL151" i="5"/>
  <c r="AT98" i="5"/>
  <c r="AU98" i="5"/>
  <c r="BL98" i="5"/>
  <c r="AT416" i="5"/>
  <c r="AU416" i="5"/>
  <c r="BL416" i="5"/>
  <c r="AT20" i="5"/>
  <c r="AU20" i="5"/>
  <c r="BL20" i="5"/>
  <c r="AT465" i="5"/>
  <c r="AU465" i="5"/>
  <c r="BL465" i="5"/>
  <c r="AT520" i="5"/>
  <c r="AU520" i="5"/>
  <c r="BL520" i="5"/>
  <c r="AU323" i="5"/>
  <c r="AT323" i="5"/>
  <c r="BL323" i="5"/>
  <c r="AU378" i="5"/>
  <c r="AT378" i="5"/>
  <c r="BL378" i="5"/>
  <c r="AU443" i="5"/>
  <c r="AT443" i="5"/>
  <c r="BL443" i="5"/>
  <c r="AT138" i="5"/>
  <c r="AU138" i="5"/>
  <c r="BL138" i="5"/>
  <c r="AT509" i="5"/>
  <c r="AU509" i="5"/>
  <c r="BL509" i="5"/>
  <c r="AT128" i="5"/>
  <c r="AU128" i="5"/>
  <c r="BL128" i="5"/>
  <c r="AU109" i="5"/>
  <c r="AT109" i="5"/>
  <c r="BL109" i="5"/>
  <c r="AU342" i="5"/>
  <c r="AT342" i="5"/>
  <c r="BL342" i="5"/>
  <c r="AU426" i="5"/>
  <c r="AT426" i="5"/>
  <c r="BL426" i="5"/>
  <c r="AT433" i="5"/>
  <c r="AU433" i="5"/>
  <c r="BL433" i="5"/>
  <c r="AT469" i="5"/>
  <c r="AU469" i="5"/>
  <c r="BL469" i="5"/>
  <c r="AT106" i="5"/>
  <c r="AU106" i="5"/>
  <c r="BL106" i="5"/>
  <c r="AU150" i="5"/>
  <c r="AT150" i="5"/>
  <c r="BL150" i="5"/>
  <c r="AU517" i="5"/>
  <c r="AT517" i="5"/>
  <c r="BL517" i="5"/>
  <c r="AT482" i="5"/>
  <c r="AU482" i="5"/>
  <c r="BL482" i="5"/>
  <c r="AT536" i="5"/>
  <c r="AU536" i="5"/>
  <c r="BL536" i="5"/>
  <c r="AT548" i="5"/>
  <c r="AU548" i="5"/>
  <c r="BL548" i="5"/>
  <c r="AU487" i="5"/>
  <c r="AT487" i="5"/>
  <c r="BL487" i="5"/>
  <c r="AU406" i="5"/>
  <c r="AT406" i="5"/>
  <c r="BL406" i="5"/>
  <c r="AU105" i="5"/>
  <c r="AT105" i="5"/>
  <c r="BL105" i="5"/>
  <c r="AU316" i="5"/>
  <c r="AT316" i="5"/>
  <c r="BL316" i="5"/>
  <c r="AU31" i="5"/>
  <c r="AT31" i="5"/>
  <c r="BL31" i="5"/>
  <c r="AJ110" i="4"/>
  <c r="AK110" i="4"/>
  <c r="AL110" i="4" s="1"/>
  <c r="AU230" i="5"/>
  <c r="AT230" i="5"/>
  <c r="BL230" i="5"/>
  <c r="AT90" i="5"/>
  <c r="AU90" i="5"/>
  <c r="BL90" i="5"/>
  <c r="AT419" i="5"/>
  <c r="AU419" i="5"/>
  <c r="BL419" i="5"/>
  <c r="AT283" i="5"/>
  <c r="AU283" i="5"/>
  <c r="BL283" i="5"/>
  <c r="AU187" i="5"/>
  <c r="AT187" i="5"/>
  <c r="BL187" i="5"/>
  <c r="AT519" i="5"/>
  <c r="AU519" i="5"/>
  <c r="BL519" i="5"/>
  <c r="AU492" i="5"/>
  <c r="AT492" i="5"/>
  <c r="BL492" i="5"/>
  <c r="AT193" i="5"/>
  <c r="AU193" i="5"/>
  <c r="BL193" i="5"/>
  <c r="AN63" i="4"/>
  <c r="AF63" i="4"/>
  <c r="AG63" i="4" s="1"/>
  <c r="AI63" i="4" s="1"/>
  <c r="AT38" i="5"/>
  <c r="AU38" i="5"/>
  <c r="BL38" i="5"/>
  <c r="AT262" i="5"/>
  <c r="AU262" i="5"/>
  <c r="BL262" i="5"/>
  <c r="AU189" i="5"/>
  <c r="AT189" i="5"/>
  <c r="BL189" i="5"/>
  <c r="AT96" i="5"/>
  <c r="AU96" i="5"/>
  <c r="BL96" i="5"/>
  <c r="AU354" i="5"/>
  <c r="AT354" i="5"/>
  <c r="BL354" i="5"/>
  <c r="AU376" i="5"/>
  <c r="AT376" i="5"/>
  <c r="BL376" i="5"/>
  <c r="AT387" i="5"/>
  <c r="AU387" i="5"/>
  <c r="BL387" i="5"/>
  <c r="AT266" i="5"/>
  <c r="AU266" i="5"/>
  <c r="BL266" i="5"/>
  <c r="AF99" i="4"/>
  <c r="AG99" i="4" s="1"/>
  <c r="AI99" i="4" s="1"/>
  <c r="R234" i="5"/>
  <c r="S234" i="5"/>
  <c r="R461" i="5"/>
  <c r="S461" i="5"/>
  <c r="S247" i="5"/>
  <c r="R247" i="5"/>
  <c r="S38" i="5"/>
  <c r="R38" i="5"/>
  <c r="R92" i="5"/>
  <c r="S92" i="5"/>
  <c r="S143" i="5"/>
  <c r="R143" i="5"/>
  <c r="R153" i="5"/>
  <c r="S153" i="5"/>
  <c r="R118" i="5"/>
  <c r="S118" i="5"/>
  <c r="R189" i="5"/>
  <c r="S189" i="5"/>
  <c r="R470" i="5"/>
  <c r="S470" i="5"/>
  <c r="R175" i="5"/>
  <c r="S175" i="5"/>
  <c r="S509" i="5"/>
  <c r="R509" i="5"/>
  <c r="S225" i="5"/>
  <c r="R225" i="5"/>
  <c r="R172" i="5"/>
  <c r="S172" i="5"/>
  <c r="S358" i="5"/>
  <c r="R358" i="5"/>
  <c r="R255" i="5"/>
  <c r="S255" i="5"/>
  <c r="R309" i="5"/>
  <c r="S309" i="5"/>
  <c r="S460" i="5"/>
  <c r="R460" i="5"/>
  <c r="S459" i="5"/>
  <c r="R459" i="5"/>
  <c r="R127" i="5"/>
  <c r="S127" i="5"/>
  <c r="S528" i="5"/>
  <c r="R528" i="5"/>
  <c r="R195" i="5"/>
  <c r="S195" i="5"/>
  <c r="S146" i="5"/>
  <c r="R146" i="5"/>
  <c r="S560" i="5"/>
  <c r="R560" i="5"/>
  <c r="S505" i="5"/>
  <c r="R505" i="5"/>
  <c r="R25" i="5"/>
  <c r="S25" i="5"/>
  <c r="S28" i="5"/>
  <c r="R28" i="5"/>
  <c r="R294" i="5"/>
  <c r="S294" i="5"/>
  <c r="R206" i="5"/>
  <c r="S206" i="5"/>
  <c r="S252" i="5"/>
  <c r="R252" i="5"/>
  <c r="R365" i="5"/>
  <c r="S365" i="5"/>
  <c r="S124" i="5"/>
  <c r="R124" i="5"/>
  <c r="S377" i="5"/>
  <c r="R377" i="5"/>
  <c r="S370" i="5"/>
  <c r="R370" i="5"/>
  <c r="S536" i="5"/>
  <c r="R536" i="5"/>
  <c r="R383" i="5"/>
  <c r="S383" i="5"/>
  <c r="S120" i="5"/>
  <c r="R120" i="5"/>
  <c r="R57" i="5"/>
  <c r="S57" i="5"/>
  <c r="S397" i="5"/>
  <c r="R397" i="5"/>
  <c r="S381" i="5"/>
  <c r="R381" i="5"/>
  <c r="S74" i="5"/>
  <c r="R74" i="5"/>
  <c r="S419" i="5"/>
  <c r="R419" i="5"/>
  <c r="S396" i="5"/>
  <c r="R396" i="5"/>
  <c r="S29" i="5"/>
  <c r="R29" i="5"/>
  <c r="R357" i="5"/>
  <c r="S357" i="5"/>
  <c r="R266" i="5"/>
  <c r="S266" i="5"/>
  <c r="S285" i="5"/>
  <c r="R285" i="5"/>
  <c r="S78" i="5"/>
  <c r="R78" i="5"/>
  <c r="R405" i="5"/>
  <c r="S405" i="5"/>
  <c r="R557" i="5"/>
  <c r="S557" i="5"/>
  <c r="S435" i="5"/>
  <c r="R435" i="5"/>
  <c r="S119" i="5"/>
  <c r="R119" i="5"/>
  <c r="R263" i="5"/>
  <c r="S263" i="5"/>
  <c r="R12" i="5"/>
  <c r="S12" i="5"/>
  <c r="S283" i="5"/>
  <c r="R283" i="5"/>
  <c r="S223" i="5"/>
  <c r="R223" i="5"/>
  <c r="S96" i="5"/>
  <c r="R96" i="5"/>
  <c r="S205" i="5"/>
  <c r="R205" i="5"/>
  <c r="R304" i="5"/>
  <c r="S304" i="5"/>
  <c r="R514" i="5"/>
  <c r="S514" i="5"/>
  <c r="R210" i="5"/>
  <c r="S210" i="5"/>
  <c r="S417" i="5"/>
  <c r="R417" i="5"/>
  <c r="S426" i="5"/>
  <c r="R426" i="5"/>
  <c r="R510" i="5"/>
  <c r="S510" i="5"/>
  <c r="S531" i="5"/>
  <c r="R531" i="5"/>
  <c r="R526" i="5"/>
  <c r="S526" i="5"/>
  <c r="R392" i="5"/>
  <c r="S392" i="5"/>
  <c r="S132" i="5"/>
  <c r="R132" i="5"/>
  <c r="S325" i="5"/>
  <c r="R325" i="5"/>
  <c r="AT188" i="5"/>
  <c r="AU188" i="5"/>
  <c r="BL188" i="5"/>
  <c r="AN60" i="4"/>
  <c r="AF60" i="4"/>
  <c r="AG60" i="4" s="1"/>
  <c r="AI60" i="4" s="1"/>
  <c r="AU176" i="5"/>
  <c r="AT176" i="5"/>
  <c r="BL176" i="5"/>
  <c r="AU95" i="5"/>
  <c r="AT95" i="5"/>
  <c r="BL95" i="5"/>
  <c r="AT330" i="5"/>
  <c r="AU330" i="5"/>
  <c r="BL330" i="5"/>
  <c r="AU141" i="5"/>
  <c r="AT141" i="5"/>
  <c r="BL141" i="5"/>
  <c r="AT298" i="5"/>
  <c r="AU298" i="5"/>
  <c r="BL298" i="5"/>
  <c r="AU335" i="5"/>
  <c r="AT335" i="5"/>
  <c r="BL335" i="5"/>
  <c r="AT70" i="5"/>
  <c r="AU70" i="5"/>
  <c r="BL70" i="5"/>
  <c r="AT327" i="5"/>
  <c r="AU327" i="5"/>
  <c r="BL327" i="5"/>
  <c r="AU154" i="5"/>
  <c r="AT154" i="5"/>
  <c r="BL154" i="5"/>
  <c r="AT385" i="5"/>
  <c r="AU385" i="5"/>
  <c r="BL385" i="5"/>
  <c r="AT279" i="5"/>
  <c r="AU279" i="5"/>
  <c r="BL279" i="5"/>
  <c r="AT108" i="5"/>
  <c r="AU108" i="5"/>
  <c r="BL108" i="5"/>
  <c r="AU445" i="5"/>
  <c r="AT445" i="5"/>
  <c r="BL445" i="5"/>
  <c r="AU514" i="5"/>
  <c r="AT514" i="5"/>
  <c r="BL514" i="5"/>
  <c r="AU218" i="5"/>
  <c r="AT218" i="5"/>
  <c r="BL218" i="5"/>
  <c r="AT427" i="5"/>
  <c r="AU427" i="5"/>
  <c r="BL427" i="5"/>
  <c r="AT529" i="5"/>
  <c r="AU529" i="5"/>
  <c r="BL529" i="5"/>
  <c r="AU265" i="5"/>
  <c r="AT265" i="5"/>
  <c r="BL265" i="5"/>
  <c r="AU448" i="5"/>
  <c r="AT448" i="5"/>
  <c r="BL448" i="5"/>
  <c r="AT539" i="5"/>
  <c r="AU539" i="5"/>
  <c r="BL539" i="5"/>
  <c r="AT153" i="5"/>
  <c r="AU153" i="5"/>
  <c r="BL153" i="5"/>
  <c r="AU296" i="5"/>
  <c r="AT296" i="5"/>
  <c r="BL296" i="5"/>
  <c r="AU103" i="5"/>
  <c r="AT103" i="5"/>
  <c r="BL103" i="5"/>
  <c r="AU338" i="5"/>
  <c r="AT338" i="5"/>
  <c r="BL338" i="5"/>
  <c r="AT122" i="5"/>
  <c r="AU122" i="5"/>
  <c r="BL122" i="5"/>
  <c r="AU322" i="5"/>
  <c r="AT322" i="5"/>
  <c r="BL322" i="5"/>
  <c r="AU420" i="5"/>
  <c r="AT420" i="5"/>
  <c r="BL420" i="5"/>
  <c r="AU235" i="5"/>
  <c r="AT235" i="5"/>
  <c r="BL235" i="5"/>
  <c r="AT505" i="5"/>
  <c r="AU505" i="5"/>
  <c r="BL505" i="5"/>
  <c r="AU396" i="5"/>
  <c r="AT396" i="5"/>
  <c r="BL396" i="5"/>
  <c r="AT540" i="5"/>
  <c r="AU540" i="5"/>
  <c r="BL540" i="5"/>
  <c r="AU271" i="5"/>
  <c r="AT271" i="5"/>
  <c r="BL271" i="5"/>
  <c r="AT207" i="5"/>
  <c r="AU207" i="5"/>
  <c r="BL207" i="5"/>
  <c r="AU173" i="5"/>
  <c r="AT173" i="5"/>
  <c r="BL173" i="5"/>
  <c r="AU391" i="5"/>
  <c r="AT391" i="5"/>
  <c r="BL391" i="5"/>
  <c r="AU85" i="5"/>
  <c r="AT85" i="5"/>
  <c r="BL85" i="5"/>
  <c r="AT530" i="5"/>
  <c r="AU530" i="5"/>
  <c r="BL530" i="5"/>
  <c r="BL64" i="5"/>
  <c r="AT64" i="5"/>
  <c r="AU64" i="5"/>
  <c r="AU436" i="5"/>
  <c r="AT436" i="5"/>
  <c r="BL436" i="5"/>
  <c r="AU545" i="5"/>
  <c r="AT545" i="5"/>
  <c r="BL545" i="5"/>
  <c r="AT425" i="5"/>
  <c r="AU425" i="5"/>
  <c r="BL425" i="5"/>
  <c r="AT340" i="5"/>
  <c r="AU340" i="5"/>
  <c r="BL340" i="5"/>
  <c r="AT84" i="5"/>
  <c r="AU84" i="5"/>
  <c r="BL84" i="5"/>
  <c r="AT24" i="5"/>
  <c r="AU24" i="5"/>
  <c r="BL24" i="5"/>
  <c r="AU457" i="5"/>
  <c r="AT457" i="5"/>
  <c r="BL457" i="5"/>
  <c r="AU163" i="5"/>
  <c r="AT163" i="5"/>
  <c r="BL163" i="5"/>
  <c r="AU382" i="5"/>
  <c r="AT382" i="5"/>
  <c r="BL382" i="5"/>
  <c r="AU538" i="5"/>
  <c r="AT538" i="5"/>
  <c r="BL538" i="5"/>
  <c r="AU334" i="5"/>
  <c r="AT334" i="5"/>
  <c r="BL334" i="5"/>
  <c r="AT551" i="5"/>
  <c r="AU551" i="5"/>
  <c r="BL551" i="5"/>
  <c r="AJ67" i="4"/>
  <c r="AK67" i="4"/>
  <c r="AL67" i="4" s="1"/>
  <c r="AO67" i="4" s="1"/>
  <c r="AT351" i="5"/>
  <c r="AU351" i="5"/>
  <c r="BL351" i="5"/>
  <c r="BL52" i="5"/>
  <c r="AT52" i="5"/>
  <c r="AU52" i="5"/>
  <c r="AU368" i="5"/>
  <c r="AT368" i="5"/>
  <c r="BL368" i="5"/>
  <c r="AT499" i="5"/>
  <c r="AU499" i="5"/>
  <c r="BL499" i="5"/>
  <c r="AU460" i="5"/>
  <c r="AT460" i="5"/>
  <c r="BL460" i="5"/>
  <c r="AT274" i="5"/>
  <c r="AU274" i="5"/>
  <c r="BL274" i="5"/>
  <c r="AT113" i="5"/>
  <c r="AU113" i="5"/>
  <c r="BL113" i="5"/>
  <c r="AU533" i="5"/>
  <c r="AT533" i="5"/>
  <c r="BL533" i="5"/>
  <c r="AT328" i="5"/>
  <c r="AU328" i="5"/>
  <c r="BL328" i="5"/>
  <c r="AN21" i="4"/>
  <c r="AF21" i="4"/>
  <c r="AG21" i="4" s="1"/>
  <c r="AI21" i="4" s="1"/>
  <c r="X21" i="4"/>
  <c r="AJ21" i="4" s="1"/>
  <c r="AN42" i="4"/>
  <c r="AF42" i="4"/>
  <c r="AG42" i="4" s="1"/>
  <c r="AI42" i="4" s="1"/>
  <c r="AN45" i="4"/>
  <c r="AF45" i="4"/>
  <c r="AG45" i="4" s="1"/>
  <c r="AI45" i="4" s="1"/>
  <c r="AN110" i="4"/>
  <c r="AF110" i="4"/>
  <c r="AG110" i="4" s="1"/>
  <c r="AI110" i="4" s="1"/>
  <c r="AU402" i="5"/>
  <c r="AT402" i="5"/>
  <c r="BL402" i="5"/>
  <c r="AT473" i="5"/>
  <c r="AU473" i="5"/>
  <c r="BL473" i="5"/>
  <c r="AU66" i="5"/>
  <c r="AT66" i="5"/>
  <c r="BL66" i="5"/>
  <c r="AU374" i="5"/>
  <c r="AT374" i="5"/>
  <c r="BL374" i="5"/>
  <c r="AT350" i="5"/>
  <c r="AU350" i="5"/>
  <c r="BL350" i="5"/>
  <c r="AT26" i="5"/>
  <c r="AU26" i="5"/>
  <c r="BL26" i="5"/>
  <c r="AT404" i="5"/>
  <c r="AU404" i="5"/>
  <c r="BL404" i="5"/>
  <c r="AT432" i="5"/>
  <c r="AU432" i="5"/>
  <c r="BL432" i="5"/>
  <c r="S23" i="5"/>
  <c r="R23" i="5"/>
  <c r="S474" i="5"/>
  <c r="R474" i="5"/>
  <c r="R69" i="5"/>
  <c r="S69" i="5"/>
  <c r="S486" i="5"/>
  <c r="R486" i="5"/>
  <c r="R58" i="5"/>
  <c r="S58" i="5"/>
  <c r="R336" i="5"/>
  <c r="S336" i="5"/>
  <c r="S123" i="5"/>
  <c r="R123" i="5"/>
  <c r="S130" i="5"/>
  <c r="R130" i="5"/>
  <c r="R282" i="5"/>
  <c r="S282" i="5"/>
  <c r="S202" i="5"/>
  <c r="R202" i="5"/>
  <c r="R61" i="5"/>
  <c r="S61" i="5"/>
  <c r="R478" i="5"/>
  <c r="S478" i="5"/>
  <c r="S481" i="5"/>
  <c r="R481" i="5"/>
  <c r="S555" i="5"/>
  <c r="R555" i="5"/>
  <c r="S53" i="5"/>
  <c r="R53" i="5"/>
  <c r="S204" i="5"/>
  <c r="R204" i="5"/>
  <c r="R356" i="5"/>
  <c r="S356" i="5"/>
  <c r="R355" i="5"/>
  <c r="S355" i="5"/>
  <c r="R60" i="5"/>
  <c r="S60" i="5"/>
  <c r="R398" i="5"/>
  <c r="S398" i="5"/>
  <c r="S338" i="5"/>
  <c r="R338" i="5"/>
  <c r="S80" i="5"/>
  <c r="R80" i="5"/>
  <c r="R64" i="5"/>
  <c r="S64" i="5"/>
  <c r="S102" i="5"/>
  <c r="R102" i="5"/>
  <c r="S391" i="5"/>
  <c r="R391" i="5"/>
  <c r="S24" i="5"/>
  <c r="R24" i="5"/>
  <c r="S99" i="5"/>
  <c r="R99" i="5"/>
  <c r="S114" i="5"/>
  <c r="R114" i="5"/>
  <c r="S273" i="5"/>
  <c r="R273" i="5"/>
  <c r="R543" i="5"/>
  <c r="S543" i="5"/>
  <c r="R280" i="5"/>
  <c r="S280" i="5"/>
  <c r="R13" i="5"/>
  <c r="S13" i="5"/>
  <c r="R239" i="5"/>
  <c r="S239" i="5"/>
  <c r="S272" i="5"/>
  <c r="R272" i="5"/>
  <c r="S258" i="5"/>
  <c r="R258" i="5"/>
  <c r="R401" i="5"/>
  <c r="S401" i="5"/>
  <c r="S348" i="5"/>
  <c r="R348" i="5"/>
  <c r="R47" i="5"/>
  <c r="S47" i="5"/>
  <c r="S261" i="5"/>
  <c r="R261" i="5"/>
  <c r="S32" i="5"/>
  <c r="R32" i="5"/>
  <c r="S232" i="5"/>
  <c r="R232" i="5"/>
  <c r="S453" i="5"/>
  <c r="R453" i="5"/>
  <c r="S320" i="5"/>
  <c r="R320" i="5"/>
  <c r="R125" i="5"/>
  <c r="S125" i="5"/>
  <c r="S135" i="5"/>
  <c r="R135" i="5"/>
  <c r="S541" i="5"/>
  <c r="R541" i="5"/>
  <c r="R54" i="5"/>
  <c r="S54" i="5"/>
  <c r="S277" i="5"/>
  <c r="R277" i="5"/>
  <c r="S501" i="5"/>
  <c r="R501" i="5"/>
  <c r="S403" i="5"/>
  <c r="R403" i="5"/>
  <c r="R440" i="5"/>
  <c r="S440" i="5"/>
  <c r="S39" i="5"/>
  <c r="R39" i="5"/>
  <c r="S364" i="5"/>
  <c r="R364" i="5"/>
  <c r="S163" i="5"/>
  <c r="R163" i="5"/>
  <c r="S499" i="5"/>
  <c r="R499" i="5"/>
  <c r="S545" i="5"/>
  <c r="R545" i="5"/>
  <c r="S452" i="5"/>
  <c r="R452" i="5"/>
  <c r="S372" i="5"/>
  <c r="R372" i="5"/>
  <c r="R298" i="5"/>
  <c r="S298" i="5"/>
  <c r="R194" i="5"/>
  <c r="S194" i="5"/>
  <c r="S19" i="5"/>
  <c r="R19" i="5"/>
  <c r="S214" i="5"/>
  <c r="R214" i="5"/>
  <c r="S129" i="5"/>
  <c r="R129" i="5"/>
  <c r="R344" i="5"/>
  <c r="S344" i="5"/>
  <c r="R540" i="5"/>
  <c r="S540" i="5"/>
  <c r="R227" i="5"/>
  <c r="S227" i="5"/>
  <c r="R363" i="5"/>
  <c r="S363" i="5"/>
  <c r="S314" i="5"/>
  <c r="R314" i="5"/>
  <c r="AT510" i="5"/>
  <c r="AU510" i="5"/>
  <c r="BL510" i="5"/>
  <c r="AT337" i="5"/>
  <c r="AU337" i="5"/>
  <c r="BL337" i="5"/>
  <c r="AT201" i="5"/>
  <c r="AU201" i="5"/>
  <c r="BL201" i="5"/>
  <c r="AT231" i="5"/>
  <c r="AU231" i="5"/>
  <c r="BL231" i="5"/>
  <c r="AU336" i="5"/>
  <c r="AT336" i="5"/>
  <c r="BL336" i="5"/>
  <c r="AT227" i="5"/>
  <c r="AU227" i="5"/>
  <c r="BL227" i="5"/>
  <c r="AT399" i="5"/>
  <c r="AU399" i="5"/>
  <c r="BL399" i="5"/>
  <c r="AU104" i="5"/>
  <c r="AT104" i="5"/>
  <c r="BL104" i="5"/>
  <c r="AT305" i="5"/>
  <c r="AU305" i="5"/>
  <c r="BL305" i="5"/>
  <c r="AQ42" i="4"/>
  <c r="AC42" i="4"/>
  <c r="AD42" i="4" s="1"/>
  <c r="AP42" i="4"/>
  <c r="AU205" i="5"/>
  <c r="AT205" i="5"/>
  <c r="BL205" i="5"/>
  <c r="AT29" i="5"/>
  <c r="AU29" i="5"/>
  <c r="BL29" i="5"/>
  <c r="AT331" i="5"/>
  <c r="AU331" i="5"/>
  <c r="BL331" i="5"/>
  <c r="AU102" i="5"/>
  <c r="AT102" i="5"/>
  <c r="BL102" i="5"/>
  <c r="AU208" i="5"/>
  <c r="AT208" i="5"/>
  <c r="BL208" i="5"/>
  <c r="AU202" i="5"/>
  <c r="AT202" i="5"/>
  <c r="BL202" i="5"/>
  <c r="AU32" i="5"/>
  <c r="AT32" i="5"/>
  <c r="BL32" i="5"/>
  <c r="AU190" i="5"/>
  <c r="AT190" i="5"/>
  <c r="BL190" i="5"/>
  <c r="AU46" i="5"/>
  <c r="AT46" i="5"/>
  <c r="BL46" i="5"/>
  <c r="AJ63" i="4"/>
  <c r="AK63" i="4"/>
  <c r="AL63" i="4" s="1"/>
  <c r="AF32" i="4"/>
  <c r="AG32" i="4" s="1"/>
  <c r="AI32" i="4" s="1"/>
  <c r="AT381" i="5"/>
  <c r="AU381" i="5"/>
  <c r="BL381" i="5"/>
  <c r="AT380" i="5"/>
  <c r="AU380" i="5"/>
  <c r="BL380" i="5"/>
  <c r="AT503" i="5"/>
  <c r="AU503" i="5"/>
  <c r="BL503" i="5"/>
  <c r="AT497" i="5"/>
  <c r="AU497" i="5"/>
  <c r="BL497" i="5"/>
  <c r="AU384" i="5"/>
  <c r="AT384" i="5"/>
  <c r="BL384" i="5"/>
  <c r="AU329" i="5"/>
  <c r="AT329" i="5"/>
  <c r="BL329" i="5"/>
  <c r="AU541" i="5"/>
  <c r="AT541" i="5"/>
  <c r="BL541" i="5"/>
  <c r="AT115" i="5"/>
  <c r="AU115" i="5"/>
  <c r="BL115" i="5"/>
  <c r="AT203" i="5"/>
  <c r="AU203" i="5"/>
  <c r="BL203" i="5"/>
  <c r="BL53" i="5"/>
  <c r="AT53" i="5"/>
  <c r="AU53" i="5"/>
  <c r="AT313" i="5"/>
  <c r="AU313" i="5"/>
  <c r="BL313" i="5"/>
  <c r="AT430" i="5"/>
  <c r="AU430" i="5"/>
  <c r="BL430" i="5"/>
  <c r="AU534" i="5"/>
  <c r="AT534" i="5"/>
  <c r="BL534" i="5"/>
  <c r="AU341" i="5"/>
  <c r="AT341" i="5"/>
  <c r="BL341" i="5"/>
  <c r="AT504" i="5"/>
  <c r="AU504" i="5"/>
  <c r="BL504" i="5"/>
  <c r="AU343" i="5"/>
  <c r="AT343" i="5"/>
  <c r="BL343" i="5"/>
  <c r="AT23" i="5"/>
  <c r="AU23" i="5"/>
  <c r="BL23" i="5"/>
  <c r="BL429" i="5"/>
  <c r="AT429" i="5"/>
  <c r="AU429" i="5"/>
  <c r="AU161" i="5"/>
  <c r="AT161" i="5"/>
  <c r="BL161" i="5"/>
  <c r="AU228" i="5"/>
  <c r="AT228" i="5"/>
  <c r="BL228" i="5"/>
  <c r="AU413" i="5"/>
  <c r="AT413" i="5"/>
  <c r="BL413" i="5"/>
  <c r="AT249" i="5"/>
  <c r="AU249" i="5"/>
  <c r="BL249" i="5"/>
  <c r="AU480" i="5"/>
  <c r="AT480" i="5"/>
  <c r="BL480" i="5"/>
  <c r="AU250" i="5"/>
  <c r="AT250" i="5"/>
  <c r="BL250" i="5"/>
  <c r="AT76" i="5"/>
  <c r="AU76" i="5"/>
  <c r="BL76" i="5"/>
  <c r="AU280" i="5"/>
  <c r="AT280" i="5"/>
  <c r="BL280" i="5"/>
  <c r="AU466" i="5"/>
  <c r="AT466" i="5"/>
  <c r="BL466" i="5"/>
  <c r="AU320" i="5"/>
  <c r="AT320" i="5"/>
  <c r="BL320" i="5"/>
  <c r="AT97" i="5"/>
  <c r="AU97" i="5"/>
  <c r="BL97" i="5"/>
  <c r="AU146" i="5"/>
  <c r="AT146" i="5"/>
  <c r="BL146" i="5"/>
  <c r="AU542" i="5"/>
  <c r="AT542" i="5"/>
  <c r="BL542" i="5"/>
  <c r="AU367" i="5"/>
  <c r="AT367" i="5"/>
  <c r="BL367" i="5"/>
  <c r="AU267" i="5"/>
  <c r="AT267" i="5"/>
  <c r="BL267" i="5"/>
  <c r="AT82" i="5"/>
  <c r="AU82" i="5"/>
  <c r="BL82" i="5"/>
  <c r="AU41" i="5"/>
  <c r="AT41" i="5"/>
  <c r="BL41" i="5"/>
  <c r="AU502" i="5"/>
  <c r="AT502" i="5"/>
  <c r="BL502" i="5"/>
  <c r="AT42" i="5"/>
  <c r="AU42" i="5"/>
  <c r="BL42" i="5"/>
  <c r="AT400" i="5"/>
  <c r="AU400" i="5"/>
  <c r="BL400" i="5"/>
  <c r="AT293" i="5"/>
  <c r="AU293" i="5"/>
  <c r="BL293" i="5"/>
  <c r="AU333" i="5"/>
  <c r="AT333" i="5"/>
  <c r="BL333" i="5"/>
  <c r="AT167" i="5"/>
  <c r="AU167" i="5"/>
  <c r="BL167" i="5"/>
  <c r="AT389" i="5"/>
  <c r="AU389" i="5"/>
  <c r="BL389" i="5"/>
  <c r="AT177" i="5"/>
  <c r="AU177" i="5"/>
  <c r="BL177" i="5"/>
  <c r="AT441" i="5"/>
  <c r="AU441" i="5"/>
  <c r="BL441" i="5"/>
  <c r="AT94" i="5"/>
  <c r="AU94" i="5"/>
  <c r="BL94" i="5"/>
  <c r="AU255" i="5"/>
  <c r="AT255" i="5"/>
  <c r="BL255" i="5"/>
  <c r="AU261" i="5"/>
  <c r="AT261" i="5"/>
  <c r="BL261" i="5"/>
  <c r="AT558" i="5"/>
  <c r="AU558" i="5"/>
  <c r="BL558" i="5"/>
  <c r="AU25" i="5"/>
  <c r="AT25" i="5"/>
  <c r="BL25" i="5"/>
  <c r="AT246" i="5"/>
  <c r="AU246" i="5"/>
  <c r="BL246" i="5"/>
  <c r="S468" i="5"/>
  <c r="R468" i="5"/>
  <c r="R242" i="5"/>
  <c r="S242" i="5"/>
  <c r="R434" i="5"/>
  <c r="S434" i="5"/>
  <c r="R463" i="5"/>
  <c r="S463" i="5"/>
  <c r="S341" i="5"/>
  <c r="R341" i="5"/>
  <c r="S406" i="5"/>
  <c r="R406" i="5"/>
  <c r="R126" i="5"/>
  <c r="S126" i="5"/>
  <c r="S402" i="5"/>
  <c r="R402" i="5"/>
  <c r="S475" i="5"/>
  <c r="R475" i="5"/>
  <c r="S134" i="5"/>
  <c r="R134" i="5"/>
  <c r="S271" i="5"/>
  <c r="R271" i="5"/>
  <c r="S159" i="5"/>
  <c r="R159" i="5"/>
  <c r="S382" i="5"/>
  <c r="R382" i="5"/>
  <c r="R121" i="5"/>
  <c r="S121" i="5"/>
  <c r="R269" i="5"/>
  <c r="S269" i="5"/>
  <c r="S237" i="5"/>
  <c r="R237" i="5"/>
  <c r="R352" i="5"/>
  <c r="S352" i="5"/>
  <c r="S559" i="5"/>
  <c r="R559" i="5"/>
  <c r="S388" i="5"/>
  <c r="R388" i="5"/>
  <c r="S30" i="5"/>
  <c r="R30" i="5"/>
  <c r="S552" i="5"/>
  <c r="R552" i="5"/>
  <c r="S254" i="5"/>
  <c r="R254" i="5"/>
  <c r="R532" i="5"/>
  <c r="S532" i="5"/>
  <c r="R157" i="5"/>
  <c r="S157" i="5"/>
  <c r="R539" i="5"/>
  <c r="S539" i="5"/>
  <c r="R454" i="5"/>
  <c r="S454" i="5"/>
  <c r="S169" i="5"/>
  <c r="R169" i="5"/>
  <c r="R140" i="5"/>
  <c r="S140" i="5"/>
  <c r="R209" i="5"/>
  <c r="S209" i="5"/>
  <c r="S52" i="5"/>
  <c r="R52" i="5"/>
  <c r="S133" i="5"/>
  <c r="R133" i="5"/>
  <c r="S33" i="5"/>
  <c r="R33" i="5"/>
  <c r="R49" i="5"/>
  <c r="S49" i="5"/>
  <c r="R376" i="5"/>
  <c r="S376" i="5"/>
  <c r="S62" i="5"/>
  <c r="R62" i="5"/>
  <c r="S264" i="5"/>
  <c r="R264" i="5"/>
  <c r="R548" i="5"/>
  <c r="S548" i="5"/>
  <c r="S476" i="5"/>
  <c r="R476" i="5"/>
  <c r="R222" i="5"/>
  <c r="S222" i="5"/>
  <c r="S395" i="5"/>
  <c r="R395" i="5"/>
  <c r="R218" i="5"/>
  <c r="S218" i="5"/>
  <c r="S399" i="5"/>
  <c r="R399" i="5"/>
  <c r="S464" i="5"/>
  <c r="R464" i="5"/>
  <c r="S404" i="5"/>
  <c r="R404" i="5"/>
  <c r="R190" i="5"/>
  <c r="S190" i="5"/>
  <c r="R530" i="5"/>
  <c r="S530" i="5"/>
  <c r="S279" i="5"/>
  <c r="R279" i="5"/>
  <c r="S221" i="5"/>
  <c r="R221" i="5"/>
  <c r="R482" i="5"/>
  <c r="S482" i="5"/>
  <c r="S527" i="5"/>
  <c r="R527" i="5"/>
  <c r="S288" i="5"/>
  <c r="R288" i="5"/>
  <c r="S278" i="5"/>
  <c r="R278" i="5"/>
  <c r="S553" i="5"/>
  <c r="R553" i="5"/>
  <c r="R366" i="5"/>
  <c r="S366" i="5"/>
  <c r="R268" i="5"/>
  <c r="S268" i="5"/>
  <c r="S154" i="5"/>
  <c r="R154" i="5"/>
  <c r="R415" i="5"/>
  <c r="S415" i="5"/>
  <c r="R427" i="5"/>
  <c r="S427" i="5"/>
  <c r="R183" i="5"/>
  <c r="S183" i="5"/>
  <c r="S303" i="5"/>
  <c r="R303" i="5"/>
  <c r="R91" i="5"/>
  <c r="S91" i="5"/>
  <c r="R534" i="5"/>
  <c r="S534" i="5"/>
  <c r="R93" i="5"/>
  <c r="S93" i="5"/>
  <c r="R200" i="5"/>
  <c r="S200" i="5"/>
  <c r="R87" i="5"/>
  <c r="S87" i="5"/>
  <c r="S439" i="5"/>
  <c r="R439" i="5"/>
  <c r="S65" i="5"/>
  <c r="R65" i="5"/>
  <c r="S81" i="5"/>
  <c r="R81" i="5"/>
  <c r="AU422" i="5"/>
  <c r="AT422" i="5"/>
  <c r="BL422" i="5"/>
  <c r="AU527" i="5"/>
  <c r="AT527" i="5"/>
  <c r="BL527" i="5"/>
  <c r="AT61" i="5"/>
  <c r="AU61" i="5"/>
  <c r="BL61" i="5"/>
  <c r="AT134" i="5"/>
  <c r="AU134" i="5"/>
  <c r="BL134" i="5"/>
  <c r="AU145" i="5"/>
  <c r="AT145" i="5"/>
  <c r="BL145" i="5"/>
  <c r="AT515" i="5"/>
  <c r="AU515" i="5"/>
  <c r="BL515" i="5"/>
  <c r="AT463" i="5"/>
  <c r="AU463" i="5"/>
  <c r="BL463" i="5"/>
  <c r="AU269" i="5"/>
  <c r="AT269" i="5"/>
  <c r="BL269" i="5"/>
  <c r="AU365" i="5"/>
  <c r="AT365" i="5"/>
  <c r="BL365" i="5"/>
  <c r="AU377" i="5"/>
  <c r="AT377" i="5"/>
  <c r="BL377" i="5"/>
  <c r="AT477" i="5"/>
  <c r="AU477" i="5"/>
  <c r="BL477" i="5"/>
  <c r="AT489" i="5"/>
  <c r="AU489" i="5"/>
  <c r="BL489" i="5"/>
  <c r="AU431" i="5"/>
  <c r="AT431" i="5"/>
  <c r="BL431" i="5"/>
  <c r="AT300" i="5"/>
  <c r="AU300" i="5"/>
  <c r="BL300" i="5"/>
  <c r="AU418" i="5"/>
  <c r="AT418" i="5"/>
  <c r="BL418" i="5"/>
  <c r="AT39" i="5"/>
  <c r="AU39" i="5"/>
  <c r="BL39" i="5"/>
  <c r="AT111" i="5"/>
  <c r="AU111" i="5"/>
  <c r="BL111" i="5"/>
  <c r="AT257" i="5"/>
  <c r="AU257" i="5"/>
  <c r="BL257" i="5"/>
  <c r="AC67" i="4"/>
  <c r="AD67" i="4" s="1"/>
  <c r="AQ67" i="4"/>
  <c r="AP67" i="4"/>
  <c r="AF62" i="4"/>
  <c r="AG62" i="4" s="1"/>
  <c r="AI62" i="4" s="1"/>
  <c r="AU272" i="5"/>
  <c r="AT272" i="5"/>
  <c r="BL272" i="5"/>
  <c r="AU476" i="5"/>
  <c r="AT476" i="5"/>
  <c r="BL476" i="5"/>
  <c r="AT224" i="5"/>
  <c r="AU224" i="5"/>
  <c r="BL224" i="5"/>
  <c r="AU411" i="5"/>
  <c r="AT411" i="5"/>
  <c r="BL411" i="5"/>
  <c r="AT461" i="5"/>
  <c r="AU461" i="5"/>
  <c r="BL461" i="5"/>
  <c r="AU28" i="5"/>
  <c r="AT28" i="5"/>
  <c r="BL28" i="5"/>
  <c r="AT309" i="5"/>
  <c r="AU309" i="5"/>
  <c r="BL309" i="5"/>
  <c r="AU360" i="5"/>
  <c r="AT360" i="5"/>
  <c r="BL360" i="5"/>
  <c r="AT358" i="5"/>
  <c r="AU358" i="5"/>
  <c r="BL358" i="5"/>
  <c r="BH10" i="5"/>
  <c r="BG10" i="5"/>
  <c r="AT58" i="5"/>
  <c r="AU58" i="5"/>
  <c r="BL58" i="5"/>
  <c r="AT62" i="5"/>
  <c r="AU62" i="5"/>
  <c r="BL62" i="5"/>
  <c r="AT284" i="5"/>
  <c r="AU284" i="5"/>
  <c r="BL284" i="5"/>
  <c r="AT219" i="5"/>
  <c r="AU219" i="5"/>
  <c r="BL219" i="5"/>
  <c r="AT314" i="5"/>
  <c r="AU314" i="5"/>
  <c r="BL314" i="5"/>
  <c r="AU179" i="5"/>
  <c r="AT179" i="5"/>
  <c r="BL179" i="5"/>
  <c r="AT68" i="5"/>
  <c r="AU68" i="5"/>
  <c r="BL68" i="5"/>
  <c r="AT537" i="5"/>
  <c r="AU537" i="5"/>
  <c r="BL537" i="5"/>
  <c r="AU117" i="5"/>
  <c r="AT117" i="5"/>
  <c r="BL117" i="5"/>
  <c r="AT478" i="5"/>
  <c r="AU478" i="5"/>
  <c r="BL478" i="5"/>
  <c r="AU125" i="5"/>
  <c r="AT125" i="5"/>
  <c r="BL125" i="5"/>
  <c r="AU165" i="5"/>
  <c r="AT165" i="5"/>
  <c r="BL165" i="5"/>
  <c r="AU169" i="5"/>
  <c r="AT169" i="5"/>
  <c r="BL169" i="5"/>
  <c r="AT59" i="5"/>
  <c r="AU59" i="5"/>
  <c r="BL59" i="5"/>
  <c r="AU493" i="5"/>
  <c r="AT493" i="5"/>
  <c r="BL493" i="5"/>
  <c r="AT398" i="5"/>
  <c r="AU398" i="5"/>
  <c r="BL398" i="5"/>
  <c r="AU196" i="5"/>
  <c r="AT196" i="5"/>
  <c r="BL196" i="5"/>
  <c r="AT488" i="5"/>
  <c r="AU488" i="5"/>
  <c r="BL488" i="5"/>
  <c r="AT546" i="5"/>
  <c r="AU546" i="5"/>
  <c r="BL546" i="5"/>
  <c r="AT40" i="5"/>
  <c r="AU40" i="5"/>
  <c r="BL40" i="5"/>
  <c r="AT258" i="5"/>
  <c r="AU258" i="5"/>
  <c r="BL258" i="5"/>
  <c r="AT414" i="5"/>
  <c r="AU414" i="5"/>
  <c r="BL414" i="5"/>
  <c r="AT401" i="5"/>
  <c r="AU401" i="5"/>
  <c r="BL401" i="5"/>
  <c r="AU118" i="5"/>
  <c r="AT118" i="5"/>
  <c r="BL118" i="5"/>
  <c r="BK7" i="5"/>
  <c r="BJ7" i="5"/>
  <c r="BL200" i="5"/>
  <c r="AT200" i="5"/>
  <c r="AU200" i="5"/>
  <c r="AU363" i="5"/>
  <c r="AT363" i="5"/>
  <c r="BL363" i="5"/>
  <c r="AT291" i="5"/>
  <c r="BL291" i="5"/>
  <c r="AU291" i="5"/>
  <c r="AT8" i="5"/>
  <c r="AU8" i="5"/>
  <c r="BL8" i="5"/>
  <c r="AT50" i="5"/>
  <c r="AU50" i="5"/>
  <c r="BL50" i="5"/>
  <c r="AU557" i="5"/>
  <c r="AT557" i="5"/>
  <c r="BL557" i="5"/>
  <c r="AU370" i="5"/>
  <c r="AT370" i="5"/>
  <c r="BL370" i="5"/>
  <c r="AT247" i="5"/>
  <c r="AU247" i="5"/>
  <c r="BL247" i="5"/>
  <c r="AU89" i="5"/>
  <c r="AT89" i="5"/>
  <c r="BL89" i="5"/>
  <c r="AT447" i="5"/>
  <c r="AU447" i="5"/>
  <c r="BL447" i="5"/>
  <c r="AT142" i="5"/>
  <c r="AU142" i="5"/>
  <c r="BL142" i="5"/>
  <c r="AT528" i="5"/>
  <c r="AU528" i="5"/>
  <c r="BL528" i="5"/>
  <c r="AU264" i="5"/>
  <c r="AT264" i="5"/>
  <c r="BL264" i="5"/>
  <c r="AT294" i="5"/>
  <c r="AU294" i="5"/>
  <c r="BL294" i="5"/>
  <c r="AT315" i="5"/>
  <c r="AU315" i="5"/>
  <c r="BL315" i="5"/>
  <c r="AT472" i="5"/>
  <c r="AU472" i="5"/>
  <c r="BL472" i="5"/>
  <c r="AU174" i="5"/>
  <c r="AT174" i="5"/>
  <c r="BL174" i="5"/>
  <c r="AT511" i="5"/>
  <c r="AU511" i="5"/>
  <c r="BL511" i="5"/>
  <c r="R251" i="5"/>
  <c r="S251" i="5"/>
  <c r="R512" i="5"/>
  <c r="S512" i="5"/>
  <c r="S517" i="5"/>
  <c r="R517" i="5"/>
  <c r="S446" i="5"/>
  <c r="R446" i="5"/>
  <c r="S160" i="5"/>
  <c r="R160" i="5"/>
  <c r="R485" i="5"/>
  <c r="S485" i="5"/>
  <c r="S107" i="5"/>
  <c r="R107" i="5"/>
  <c r="R379" i="5"/>
  <c r="S379" i="5"/>
  <c r="R21" i="5"/>
  <c r="S21" i="5"/>
  <c r="R408" i="5"/>
  <c r="S408" i="5"/>
  <c r="S390" i="5"/>
  <c r="R390" i="5"/>
  <c r="S216" i="5"/>
  <c r="R216" i="5"/>
  <c r="R491" i="5"/>
  <c r="S491" i="5"/>
  <c r="S71" i="5"/>
  <c r="R71" i="5"/>
  <c r="S329" i="5"/>
  <c r="R329" i="5"/>
  <c r="S328" i="5"/>
  <c r="R328" i="5"/>
  <c r="R511" i="5"/>
  <c r="S511" i="5"/>
  <c r="S498" i="5"/>
  <c r="R498" i="5"/>
  <c r="R447" i="5"/>
  <c r="S447" i="5"/>
  <c r="R535" i="5"/>
  <c r="S535" i="5"/>
  <c r="R331" i="5"/>
  <c r="S331" i="5"/>
  <c r="R22" i="5"/>
  <c r="S22" i="5"/>
  <c r="S373" i="5"/>
  <c r="R373" i="5"/>
  <c r="S554" i="5"/>
  <c r="R554" i="5"/>
  <c r="R191" i="5"/>
  <c r="S191" i="5"/>
  <c r="R387" i="5"/>
  <c r="S387" i="5"/>
  <c r="R529" i="5"/>
  <c r="S529" i="5"/>
  <c r="S339" i="5"/>
  <c r="R339" i="5"/>
  <c r="R162" i="5"/>
  <c r="S162" i="5"/>
  <c r="R472" i="5"/>
  <c r="S472" i="5"/>
  <c r="R274" i="5"/>
  <c r="S274" i="5"/>
  <c r="S262" i="5"/>
  <c r="R262" i="5"/>
  <c r="S324" i="5"/>
  <c r="R324" i="5"/>
  <c r="S556" i="5"/>
  <c r="R556" i="5"/>
  <c r="S421" i="5"/>
  <c r="R421" i="5"/>
  <c r="R158" i="5"/>
  <c r="S158" i="5"/>
  <c r="R489" i="5"/>
  <c r="S489" i="5"/>
  <c r="S367" i="5"/>
  <c r="R367" i="5"/>
  <c r="R428" i="5"/>
  <c r="S428" i="5"/>
  <c r="S371" i="5"/>
  <c r="R371" i="5"/>
  <c r="R519" i="5"/>
  <c r="S519" i="5"/>
  <c r="R116" i="5"/>
  <c r="S116" i="5"/>
  <c r="S337" i="5"/>
  <c r="R337" i="5"/>
  <c r="S346" i="5"/>
  <c r="R346" i="5"/>
  <c r="R293" i="5"/>
  <c r="S293" i="5"/>
  <c r="R142" i="5"/>
  <c r="S142" i="5"/>
  <c r="S244" i="5"/>
  <c r="R244" i="5"/>
  <c r="S128" i="5"/>
  <c r="R128" i="5"/>
  <c r="R150" i="5"/>
  <c r="S150" i="5"/>
  <c r="S122" i="5"/>
  <c r="R122" i="5"/>
  <c r="R302" i="5"/>
  <c r="S302" i="5"/>
  <c r="S68" i="5"/>
  <c r="R68" i="5"/>
  <c r="S350" i="5"/>
  <c r="R350" i="5"/>
  <c r="S226" i="5"/>
  <c r="R226" i="5"/>
  <c r="R43" i="5"/>
  <c r="S43" i="5"/>
  <c r="S284" i="5"/>
  <c r="R284" i="5"/>
  <c r="R300" i="5"/>
  <c r="S300" i="5"/>
  <c r="S306" i="5"/>
  <c r="R306" i="5"/>
  <c r="R75" i="5"/>
  <c r="S75" i="5"/>
  <c r="R386" i="5"/>
  <c r="S386" i="5"/>
  <c r="S138" i="5"/>
  <c r="R138" i="5"/>
  <c r="R492" i="5"/>
  <c r="S492" i="5"/>
  <c r="R465" i="5"/>
  <c r="S465" i="5"/>
  <c r="S296" i="5"/>
  <c r="R296" i="5"/>
  <c r="R31" i="5"/>
  <c r="S31" i="5"/>
  <c r="S444" i="5"/>
  <c r="R444" i="5"/>
  <c r="R342" i="5"/>
  <c r="S342" i="5"/>
  <c r="R414" i="5"/>
  <c r="S414" i="5"/>
  <c r="AU386" i="5"/>
  <c r="AT386" i="5"/>
  <c r="BL386" i="5"/>
  <c r="AU112" i="5"/>
  <c r="AT112" i="5"/>
  <c r="BL112" i="5"/>
  <c r="AJ42" i="4"/>
  <c r="AK42" i="4"/>
  <c r="AL42" i="4" s="1"/>
  <c r="AT303" i="5"/>
  <c r="AU303" i="5"/>
  <c r="BL303" i="5"/>
  <c r="AT526" i="5"/>
  <c r="AU526" i="5"/>
  <c r="BL526" i="5"/>
  <c r="AT83" i="5"/>
  <c r="AU83" i="5"/>
  <c r="BL83" i="5"/>
  <c r="AT209" i="5"/>
  <c r="AU209" i="5"/>
  <c r="BL209" i="5"/>
  <c r="AT390" i="5"/>
  <c r="AU390" i="5"/>
  <c r="BL390" i="5"/>
  <c r="AU485" i="5"/>
  <c r="AT485" i="5"/>
  <c r="BL485" i="5"/>
  <c r="AT276" i="5"/>
  <c r="AU276" i="5"/>
  <c r="BL276" i="5"/>
  <c r="AU44" i="5"/>
  <c r="AT44" i="5"/>
  <c r="BL44" i="5"/>
  <c r="S10" i="5"/>
  <c r="R10" i="5"/>
  <c r="AN16" i="4"/>
  <c r="X16" i="4"/>
  <c r="AJ16" i="4" s="1"/>
  <c r="AF16" i="4"/>
  <c r="AG16" i="4" s="1"/>
  <c r="AI16" i="4" s="1"/>
  <c r="AT116" i="5"/>
  <c r="BL116" i="5"/>
  <c r="AU116" i="5"/>
  <c r="AU54" i="5"/>
  <c r="AT54" i="5"/>
  <c r="BL54" i="5"/>
  <c r="AU270" i="5"/>
  <c r="AT270" i="5"/>
  <c r="BL270" i="5"/>
  <c r="AT170" i="5"/>
  <c r="AU170" i="5"/>
  <c r="BL170" i="5"/>
  <c r="AU204" i="5"/>
  <c r="AT204" i="5"/>
  <c r="BL204" i="5"/>
  <c r="AU304" i="5"/>
  <c r="AT304" i="5"/>
  <c r="BL304" i="5"/>
  <c r="AU130" i="5"/>
  <c r="AT130" i="5"/>
  <c r="BL130" i="5"/>
  <c r="AT239" i="5"/>
  <c r="AU239" i="5"/>
  <c r="BL239" i="5"/>
  <c r="AN113" i="4"/>
  <c r="AF113" i="4"/>
  <c r="AG113" i="4" s="1"/>
  <c r="AI113" i="4" s="1"/>
  <c r="AT417" i="5"/>
  <c r="AU417" i="5"/>
  <c r="BL417" i="5"/>
  <c r="AT290" i="5"/>
  <c r="AU290" i="5"/>
  <c r="BL290" i="5"/>
  <c r="AT181" i="5"/>
  <c r="AU181" i="5"/>
  <c r="BL181" i="5"/>
  <c r="AU139" i="5"/>
  <c r="AT139" i="5"/>
  <c r="BL139" i="5"/>
  <c r="AT238" i="5"/>
  <c r="AU238" i="5"/>
  <c r="BL238" i="5"/>
  <c r="AT192" i="5"/>
  <c r="AU192" i="5"/>
  <c r="BL192" i="5"/>
  <c r="AT428" i="5"/>
  <c r="AU428" i="5"/>
  <c r="BL428" i="5"/>
  <c r="AT171" i="5"/>
  <c r="AU171" i="5"/>
  <c r="BL171" i="5"/>
  <c r="AJ99" i="4"/>
  <c r="AK99" i="4"/>
  <c r="AL99" i="4" s="1"/>
  <c r="AO99" i="4" s="1"/>
  <c r="AU553" i="5"/>
  <c r="AT553" i="5"/>
  <c r="BL553" i="5"/>
  <c r="AU524" i="5"/>
  <c r="BL524" i="5"/>
  <c r="AT524" i="5"/>
  <c r="AU532" i="5"/>
  <c r="AT532" i="5"/>
  <c r="BL532" i="5"/>
  <c r="AT301" i="5"/>
  <c r="AU301" i="5"/>
  <c r="BL301" i="5"/>
  <c r="AT282" i="5"/>
  <c r="AU282" i="5"/>
  <c r="BL282" i="5"/>
  <c r="AU236" i="5"/>
  <c r="AT236" i="5"/>
  <c r="BL236" i="5"/>
  <c r="AT216" i="5"/>
  <c r="AU216" i="5"/>
  <c r="BL216" i="5"/>
  <c r="AT263" i="5"/>
  <c r="AU263" i="5"/>
  <c r="BL263" i="5"/>
  <c r="AT214" i="5"/>
  <c r="AU214" i="5"/>
  <c r="BL214" i="5"/>
  <c r="AU535" i="5"/>
  <c r="AT535" i="5"/>
  <c r="BL535" i="5"/>
  <c r="AT57" i="5"/>
  <c r="AU57" i="5"/>
  <c r="BL57" i="5"/>
  <c r="AU344" i="5"/>
  <c r="AT344" i="5"/>
  <c r="BL344" i="5"/>
  <c r="AU248" i="5"/>
  <c r="AT248" i="5"/>
  <c r="BL248" i="5"/>
  <c r="AT332" i="5"/>
  <c r="AU332" i="5"/>
  <c r="BL332" i="5"/>
  <c r="AU243" i="5"/>
  <c r="AT243" i="5"/>
  <c r="BL243" i="5"/>
  <c r="AU244" i="5"/>
  <c r="AT244" i="5"/>
  <c r="BL244" i="5"/>
  <c r="AU302" i="5"/>
  <c r="AT302" i="5"/>
  <c r="BL302" i="5"/>
  <c r="AT51" i="5"/>
  <c r="AU51" i="5"/>
  <c r="BL51" i="5"/>
  <c r="AT475" i="5"/>
  <c r="AU475" i="5"/>
  <c r="BL475" i="5"/>
  <c r="AU366" i="5"/>
  <c r="AT366" i="5"/>
  <c r="BL366" i="5"/>
  <c r="AT240" i="5"/>
  <c r="AU240" i="5"/>
  <c r="BL240" i="5"/>
  <c r="AU518" i="5"/>
  <c r="AT518" i="5"/>
  <c r="BL518" i="5"/>
  <c r="AT361" i="5"/>
  <c r="AU361" i="5"/>
  <c r="BL361" i="5"/>
  <c r="AT144" i="5"/>
  <c r="AU144" i="5"/>
  <c r="BL144" i="5"/>
  <c r="AU516" i="5"/>
  <c r="AT516" i="5"/>
  <c r="BL516" i="5"/>
  <c r="AT198" i="5"/>
  <c r="AU198" i="5"/>
  <c r="BL198" i="5"/>
  <c r="AU126" i="5"/>
  <c r="AT126" i="5"/>
  <c r="BL126" i="5"/>
  <c r="BL486" i="5"/>
  <c r="AT486" i="5"/>
  <c r="AU486" i="5"/>
  <c r="AT324" i="5"/>
  <c r="AU324" i="5"/>
  <c r="BL324" i="5"/>
  <c r="AT110" i="5"/>
  <c r="AU110" i="5"/>
  <c r="BL110" i="5"/>
  <c r="AT182" i="5"/>
  <c r="AU182" i="5"/>
  <c r="BL182" i="5"/>
  <c r="AT559" i="5"/>
  <c r="AU559" i="5"/>
  <c r="BL559" i="5"/>
  <c r="AU310" i="5"/>
  <c r="AT310" i="5"/>
  <c r="BL310" i="5"/>
  <c r="AT101" i="5"/>
  <c r="AU101" i="5"/>
  <c r="BL101" i="5"/>
  <c r="AU372" i="5"/>
  <c r="AT372" i="5"/>
  <c r="BL372" i="5"/>
  <c r="AU281" i="5"/>
  <c r="AT281" i="5"/>
  <c r="BL281" i="5"/>
  <c r="AU288" i="5"/>
  <c r="AT288" i="5"/>
  <c r="BL288" i="5"/>
  <c r="AT157" i="5"/>
  <c r="AU157" i="5"/>
  <c r="BL157" i="5"/>
  <c r="AU464" i="5"/>
  <c r="AT464" i="5"/>
  <c r="BL464" i="5"/>
  <c r="AU183" i="5"/>
  <c r="AT183" i="5"/>
  <c r="BL183" i="5"/>
  <c r="AU552" i="5"/>
  <c r="AT552" i="5"/>
  <c r="BL552" i="5"/>
  <c r="AU121" i="5"/>
  <c r="AT121" i="5"/>
  <c r="BL121" i="5"/>
  <c r="AT123" i="5"/>
  <c r="AU123" i="5"/>
  <c r="BL123" i="5"/>
  <c r="S240" i="5"/>
  <c r="R240" i="5"/>
  <c r="R171" i="5"/>
  <c r="S171" i="5"/>
  <c r="R353" i="5"/>
  <c r="S353" i="5"/>
  <c r="S430" i="5"/>
  <c r="R430" i="5"/>
  <c r="R243" i="5"/>
  <c r="S243" i="5"/>
  <c r="R466" i="5"/>
  <c r="S466" i="5"/>
  <c r="S215" i="5"/>
  <c r="R215" i="5"/>
  <c r="R152" i="5"/>
  <c r="S152" i="5"/>
  <c r="R289" i="5"/>
  <c r="S289" i="5"/>
  <c r="S493" i="5"/>
  <c r="R493" i="5"/>
  <c r="R100" i="5"/>
  <c r="S100" i="5"/>
  <c r="S148" i="5"/>
  <c r="R148" i="5"/>
  <c r="R533" i="5"/>
  <c r="S533" i="5"/>
  <c r="S437" i="5"/>
  <c r="R437" i="5"/>
  <c r="R318" i="5"/>
  <c r="S318" i="5"/>
  <c r="S77" i="5"/>
  <c r="R77" i="5"/>
  <c r="R407" i="5"/>
  <c r="S407" i="5"/>
  <c r="R275" i="5"/>
  <c r="S275" i="5"/>
  <c r="S164" i="5"/>
  <c r="R164" i="5"/>
  <c r="S59" i="5"/>
  <c r="R59" i="5"/>
  <c r="S95" i="5"/>
  <c r="R95" i="5"/>
  <c r="S301" i="5"/>
  <c r="R301" i="5"/>
  <c r="S181" i="5"/>
  <c r="R181" i="5"/>
  <c r="S79" i="5"/>
  <c r="R79" i="5"/>
  <c r="S410" i="5"/>
  <c r="R410" i="5"/>
  <c r="S305" i="5"/>
  <c r="R305" i="5"/>
  <c r="R469" i="5"/>
  <c r="S469" i="5"/>
  <c r="R103" i="5"/>
  <c r="S103" i="5"/>
  <c r="S168" i="5"/>
  <c r="R168" i="5"/>
  <c r="S109" i="5"/>
  <c r="R109" i="5"/>
  <c r="R231" i="5"/>
  <c r="S231" i="5"/>
  <c r="S149" i="5"/>
  <c r="R149" i="5"/>
  <c r="R448" i="5"/>
  <c r="S448" i="5"/>
  <c r="S422" i="5"/>
  <c r="R422" i="5"/>
  <c r="S46" i="5"/>
  <c r="R46" i="5"/>
  <c r="R192" i="5"/>
  <c r="S192" i="5"/>
  <c r="R525" i="5"/>
  <c r="S525" i="5"/>
  <c r="R349" i="5"/>
  <c r="S349" i="5"/>
  <c r="R343" i="5"/>
  <c r="S343" i="5"/>
  <c r="S484" i="5"/>
  <c r="R484" i="5"/>
  <c r="R161" i="5"/>
  <c r="S161" i="5"/>
  <c r="R185" i="5"/>
  <c r="S185" i="5"/>
  <c r="S112" i="5"/>
  <c r="R112" i="5"/>
  <c r="S322" i="5"/>
  <c r="R322" i="5"/>
  <c r="R400" i="5"/>
  <c r="S400" i="5"/>
  <c r="S368" i="5"/>
  <c r="R368" i="5"/>
  <c r="S82" i="5"/>
  <c r="R82" i="5"/>
  <c r="R180" i="5"/>
  <c r="S180" i="5"/>
  <c r="S456" i="5"/>
  <c r="R456" i="5"/>
  <c r="R502" i="5"/>
  <c r="S502" i="5"/>
  <c r="S516" i="5"/>
  <c r="R516" i="5"/>
  <c r="R233" i="5"/>
  <c r="S233" i="5"/>
  <c r="R362" i="5"/>
  <c r="S362" i="5"/>
  <c r="S85" i="5"/>
  <c r="R85" i="5"/>
  <c r="R374" i="5"/>
  <c r="S374" i="5"/>
  <c r="S56" i="5"/>
  <c r="R56" i="5"/>
  <c r="R106" i="5"/>
  <c r="S106" i="5"/>
  <c r="S83" i="5"/>
  <c r="R83" i="5"/>
  <c r="S104" i="5"/>
  <c r="R104" i="5"/>
  <c r="R423" i="5"/>
  <c r="S423" i="5"/>
  <c r="S449" i="5"/>
  <c r="R449" i="5"/>
  <c r="R496" i="5"/>
  <c r="S496" i="5"/>
  <c r="R504" i="5"/>
  <c r="S504" i="5"/>
  <c r="S196" i="5"/>
  <c r="R196" i="5"/>
  <c r="R515" i="5"/>
  <c r="S515" i="5"/>
  <c r="R98" i="5"/>
  <c r="S98" i="5"/>
  <c r="R173" i="5"/>
  <c r="S173" i="5"/>
  <c r="S248" i="5"/>
  <c r="R248" i="5"/>
  <c r="AF57" i="4" l="1"/>
  <c r="AG57" i="4" s="1"/>
  <c r="AI57" i="4" s="1"/>
  <c r="AF98" i="4"/>
  <c r="AG98" i="4" s="1"/>
  <c r="AI98" i="4" s="1"/>
  <c r="AQ130" i="4"/>
  <c r="AF132" i="4"/>
  <c r="AG132" i="4" s="1"/>
  <c r="AI132" i="4" s="1"/>
  <c r="AF119" i="4"/>
  <c r="AG119" i="4" s="1"/>
  <c r="AI119" i="4" s="1"/>
  <c r="AN98" i="4"/>
  <c r="AK98" i="4"/>
  <c r="AL98" i="4" s="1"/>
  <c r="AF156" i="4"/>
  <c r="AG156" i="4" s="1"/>
  <c r="AI156" i="4" s="1"/>
  <c r="AF29" i="4"/>
  <c r="AG29" i="4" s="1"/>
  <c r="AI29" i="4" s="1"/>
  <c r="AF80" i="4"/>
  <c r="AG80" i="4" s="1"/>
  <c r="AI80" i="4" s="1"/>
  <c r="AF50" i="4"/>
  <c r="AG50" i="4" s="1"/>
  <c r="AI50" i="4" s="1"/>
  <c r="AJ59" i="4"/>
  <c r="AP59" i="4"/>
  <c r="AP94" i="4"/>
  <c r="AF71" i="4"/>
  <c r="AG71" i="4" s="1"/>
  <c r="AI71" i="4" s="1"/>
  <c r="AK71" i="4"/>
  <c r="AL71" i="4" s="1"/>
  <c r="AQ59" i="4"/>
  <c r="AC94" i="4"/>
  <c r="AD94" i="4" s="1"/>
  <c r="AN71" i="4"/>
  <c r="AF100" i="4"/>
  <c r="AG100" i="4" s="1"/>
  <c r="AI100" i="4" s="1"/>
  <c r="AF86" i="4"/>
  <c r="AG86" i="4" s="1"/>
  <c r="AI86" i="4" s="1"/>
  <c r="AF102" i="4"/>
  <c r="AG102" i="4" s="1"/>
  <c r="AI102" i="4" s="1"/>
  <c r="AK59" i="4"/>
  <c r="AL59" i="4" s="1"/>
  <c r="AJ94" i="4"/>
  <c r="AJ130" i="4"/>
  <c r="AP130" i="4"/>
  <c r="AF150" i="4"/>
  <c r="AG150" i="4" s="1"/>
  <c r="AI150" i="4" s="1"/>
  <c r="X14" i="4"/>
  <c r="AJ14" i="4" s="1"/>
  <c r="AF14" i="4"/>
  <c r="AG14" i="4" s="1"/>
  <c r="AI14" i="4" s="1"/>
  <c r="AA56" i="4"/>
  <c r="AQ56" i="4" s="1"/>
  <c r="AF73" i="4"/>
  <c r="AG73" i="4" s="1"/>
  <c r="AI73" i="4" s="1"/>
  <c r="AF52" i="4"/>
  <c r="AG52" i="4" s="1"/>
  <c r="AI52" i="4" s="1"/>
  <c r="AJ91" i="4"/>
  <c r="AK94" i="4"/>
  <c r="AL94" i="4" s="1"/>
  <c r="AO94" i="4" s="1"/>
  <c r="AF69" i="4"/>
  <c r="AG69" i="4" s="1"/>
  <c r="AI69" i="4" s="1"/>
  <c r="AF154" i="4"/>
  <c r="AG154" i="4" s="1"/>
  <c r="AI154" i="4" s="1"/>
  <c r="AF94" i="4"/>
  <c r="AG94" i="4" s="1"/>
  <c r="AI94" i="4" s="1"/>
  <c r="AK134" i="4"/>
  <c r="AL134" i="4" s="1"/>
  <c r="AF81" i="4"/>
  <c r="AG81" i="4" s="1"/>
  <c r="AI81" i="4" s="1"/>
  <c r="AF134" i="4"/>
  <c r="AG134" i="4" s="1"/>
  <c r="AI134" i="4" s="1"/>
  <c r="AN134" i="4"/>
  <c r="AN138" i="4"/>
  <c r="AK39" i="4"/>
  <c r="AL39" i="4" s="1"/>
  <c r="AO39" i="4" s="1"/>
  <c r="AF112" i="4"/>
  <c r="AG112" i="4" s="1"/>
  <c r="AI112" i="4" s="1"/>
  <c r="AF145" i="4"/>
  <c r="AG145" i="4" s="1"/>
  <c r="AI145" i="4" s="1"/>
  <c r="AF39" i="4"/>
  <c r="AG39" i="4" s="1"/>
  <c r="AI39" i="4" s="1"/>
  <c r="AF126" i="4"/>
  <c r="AG126" i="4" s="1"/>
  <c r="AI126" i="4" s="1"/>
  <c r="AK145" i="4"/>
  <c r="AL145" i="4" s="1"/>
  <c r="AO145" i="4" s="1"/>
  <c r="AF46" i="4"/>
  <c r="AG46" i="4" s="1"/>
  <c r="AI46" i="4" s="1"/>
  <c r="AN46" i="4"/>
  <c r="AF75" i="4"/>
  <c r="AG75" i="4" s="1"/>
  <c r="AI75" i="4" s="1"/>
  <c r="AF74" i="4"/>
  <c r="AG74" i="4" s="1"/>
  <c r="AI74" i="4" s="1"/>
  <c r="AN74" i="4"/>
  <c r="AO74" i="4" s="1"/>
  <c r="AF91" i="4"/>
  <c r="AG91" i="4" s="1"/>
  <c r="AI91" i="4" s="1"/>
  <c r="AN91" i="4"/>
  <c r="AO91" i="4" s="1"/>
  <c r="AJ74" i="4"/>
  <c r="AF70" i="4"/>
  <c r="AG70" i="4" s="1"/>
  <c r="AI70" i="4" s="1"/>
  <c r="AF125" i="4"/>
  <c r="AG125" i="4" s="1"/>
  <c r="AI125" i="4" s="1"/>
  <c r="AK75" i="4"/>
  <c r="AL75" i="4" s="1"/>
  <c r="AO75" i="4" s="1"/>
  <c r="AF59" i="4"/>
  <c r="AG59" i="4" s="1"/>
  <c r="AI59" i="4" s="1"/>
  <c r="AN59" i="4"/>
  <c r="AF95" i="4"/>
  <c r="AG95" i="4" s="1"/>
  <c r="AI95" i="4" s="1"/>
  <c r="AF114" i="4"/>
  <c r="AG114" i="4" s="1"/>
  <c r="AI114" i="4" s="1"/>
  <c r="AF66" i="4"/>
  <c r="AG66" i="4" s="1"/>
  <c r="AI66" i="4" s="1"/>
  <c r="AF64" i="4"/>
  <c r="AG64" i="4" s="1"/>
  <c r="AI64" i="4" s="1"/>
  <c r="X64" i="4"/>
  <c r="AA64" i="4" s="1"/>
  <c r="AQ64" i="4" s="1"/>
  <c r="AA38" i="4"/>
  <c r="AC38" i="4" s="1"/>
  <c r="AD38" i="4" s="1"/>
  <c r="AK137" i="4"/>
  <c r="AL137" i="4" s="1"/>
  <c r="AO137" i="4" s="1"/>
  <c r="AF87" i="4"/>
  <c r="AG87" i="4" s="1"/>
  <c r="AI87" i="4" s="1"/>
  <c r="AF130" i="4"/>
  <c r="AG130" i="4" s="1"/>
  <c r="AI130" i="4" s="1"/>
  <c r="AF10" i="4"/>
  <c r="AG10" i="4" s="1"/>
  <c r="AI10" i="4" s="1"/>
  <c r="AF61" i="4"/>
  <c r="AG61" i="4" s="1"/>
  <c r="AI61" i="4" s="1"/>
  <c r="AF92" i="4"/>
  <c r="AG92" i="4" s="1"/>
  <c r="AI92" i="4" s="1"/>
  <c r="AK92" i="4"/>
  <c r="AL92" i="4" s="1"/>
  <c r="AO92" i="4" s="1"/>
  <c r="X10" i="4"/>
  <c r="AJ10" i="4" s="1"/>
  <c r="AK129" i="4"/>
  <c r="AL129" i="4" s="1"/>
  <c r="AO129" i="4" s="1"/>
  <c r="AK130" i="4"/>
  <c r="AL130" i="4" s="1"/>
  <c r="AO130" i="4" s="1"/>
  <c r="X12" i="4"/>
  <c r="AJ12" i="4" s="1"/>
  <c r="AF12" i="4"/>
  <c r="AG12" i="4" s="1"/>
  <c r="AI12" i="4" s="1"/>
  <c r="AF11" i="5"/>
  <c r="AG11" i="5" s="1"/>
  <c r="AF143" i="4"/>
  <c r="AG143" i="4" s="1"/>
  <c r="AI143" i="4" s="1"/>
  <c r="AJ66" i="4"/>
  <c r="AK38" i="4"/>
  <c r="AL38" i="4" s="1"/>
  <c r="AO38" i="4" s="1"/>
  <c r="AC115" i="4"/>
  <c r="AD115" i="4" s="1"/>
  <c r="AQ115" i="4"/>
  <c r="AK49" i="4"/>
  <c r="AL49" i="4" s="1"/>
  <c r="AO49" i="4" s="1"/>
  <c r="AK115" i="4"/>
  <c r="AL115" i="4" s="1"/>
  <c r="AO115" i="4" s="1"/>
  <c r="AJ49" i="4"/>
  <c r="AC49" i="4"/>
  <c r="AD49" i="4" s="1"/>
  <c r="AJ115" i="4"/>
  <c r="AF47" i="4"/>
  <c r="AG47" i="4" s="1"/>
  <c r="AI47" i="4" s="1"/>
  <c r="AQ49" i="4"/>
  <c r="AK47" i="4"/>
  <c r="AL47" i="4" s="1"/>
  <c r="AN22" i="4"/>
  <c r="BI319" i="5"/>
  <c r="BK319" i="5" s="1"/>
  <c r="AF22" i="4"/>
  <c r="AG22" i="4" s="1"/>
  <c r="AI22" i="4" s="1"/>
  <c r="AK131" i="4"/>
  <c r="AL131" i="4" s="1"/>
  <c r="AO131" i="4" s="1"/>
  <c r="AF72" i="4"/>
  <c r="AG72" i="4" s="1"/>
  <c r="AI72" i="4" s="1"/>
  <c r="AF103" i="4"/>
  <c r="AG103" i="4" s="1"/>
  <c r="AI103" i="4" s="1"/>
  <c r="AF131" i="4"/>
  <c r="AG131" i="4" s="1"/>
  <c r="AI131" i="4" s="1"/>
  <c r="X7" i="4"/>
  <c r="AJ7" i="4" s="1"/>
  <c r="AF7" i="4"/>
  <c r="AG7" i="4" s="1"/>
  <c r="AI7" i="4" s="1"/>
  <c r="AF121" i="4"/>
  <c r="AG121" i="4" s="1"/>
  <c r="AI121" i="4" s="1"/>
  <c r="AF56" i="4"/>
  <c r="AG56" i="4" s="1"/>
  <c r="AI56" i="4" s="1"/>
  <c r="AN56" i="4"/>
  <c r="AK124" i="4"/>
  <c r="AL124" i="4" s="1"/>
  <c r="AO124" i="4" s="1"/>
  <c r="AK56" i="4"/>
  <c r="AL56" i="4" s="1"/>
  <c r="AF151" i="4"/>
  <c r="AG151" i="4" s="1"/>
  <c r="AI151" i="4" s="1"/>
  <c r="AK155" i="4"/>
  <c r="AL155" i="4" s="1"/>
  <c r="AO155" i="4" s="1"/>
  <c r="X8" i="4"/>
  <c r="AJ8" i="4" s="1"/>
  <c r="AJ155" i="4"/>
  <c r="AF8" i="4"/>
  <c r="AG8" i="4" s="1"/>
  <c r="AI8" i="4" s="1"/>
  <c r="AF34" i="4"/>
  <c r="AG34" i="4" s="1"/>
  <c r="AI34" i="4" s="1"/>
  <c r="AF157" i="4"/>
  <c r="AG157" i="4" s="1"/>
  <c r="AI157" i="4" s="1"/>
  <c r="AP155" i="4"/>
  <c r="AQ155" i="4"/>
  <c r="AF97" i="4"/>
  <c r="AG97" i="4" s="1"/>
  <c r="AI97" i="4" s="1"/>
  <c r="X34" i="4"/>
  <c r="AA34" i="4" s="1"/>
  <c r="AC34" i="4" s="1"/>
  <c r="AD34" i="4" s="1"/>
  <c r="AF48" i="4"/>
  <c r="AG48" i="4" s="1"/>
  <c r="AI48" i="4" s="1"/>
  <c r="AN47" i="4"/>
  <c r="AF111" i="4"/>
  <c r="AG111" i="4" s="1"/>
  <c r="AI111" i="4" s="1"/>
  <c r="AJ111" i="4"/>
  <c r="AF144" i="4"/>
  <c r="AG144" i="4" s="1"/>
  <c r="AI144" i="4" s="1"/>
  <c r="AN20" i="4"/>
  <c r="X72" i="4"/>
  <c r="AA72" i="4" s="1"/>
  <c r="AQ72" i="4" s="1"/>
  <c r="X20" i="4"/>
  <c r="AJ20" i="4" s="1"/>
  <c r="AF139" i="4"/>
  <c r="AG139" i="4" s="1"/>
  <c r="AI139" i="4" s="1"/>
  <c r="AA47" i="4"/>
  <c r="AQ47" i="4" s="1"/>
  <c r="AK148" i="4"/>
  <c r="AL148" i="4" s="1"/>
  <c r="AO148" i="4" s="1"/>
  <c r="X48" i="4"/>
  <c r="AA48" i="4" s="1"/>
  <c r="AQ48" i="4" s="1"/>
  <c r="AF123" i="4"/>
  <c r="AG123" i="4" s="1"/>
  <c r="AI123" i="4" s="1"/>
  <c r="AK123" i="4"/>
  <c r="AL123" i="4" s="1"/>
  <c r="AA123" i="4"/>
  <c r="AQ123" i="4" s="1"/>
  <c r="AN123" i="4"/>
  <c r="AK111" i="4"/>
  <c r="AL111" i="4" s="1"/>
  <c r="AO111" i="4" s="1"/>
  <c r="X43" i="4"/>
  <c r="AA43" i="4" s="1"/>
  <c r="AC43" i="4" s="1"/>
  <c r="AD43" i="4" s="1"/>
  <c r="AC153" i="4"/>
  <c r="AD153" i="4" s="1"/>
  <c r="AP141" i="4"/>
  <c r="AQ141" i="4"/>
  <c r="AP153" i="4"/>
  <c r="AF43" i="4"/>
  <c r="AG43" i="4" s="1"/>
  <c r="AI43" i="4" s="1"/>
  <c r="AK153" i="4"/>
  <c r="AL153" i="4" s="1"/>
  <c r="AO153" i="4" s="1"/>
  <c r="AK141" i="4"/>
  <c r="AL141" i="4" s="1"/>
  <c r="AO141" i="4" s="1"/>
  <c r="AF147" i="4"/>
  <c r="AG147" i="4" s="1"/>
  <c r="AI147" i="4" s="1"/>
  <c r="AJ153" i="4"/>
  <c r="AJ141" i="4"/>
  <c r="AJ148" i="4"/>
  <c r="AP110" i="4"/>
  <c r="AC110" i="4"/>
  <c r="AD110" i="4" s="1"/>
  <c r="AF107" i="4"/>
  <c r="AG107" i="4" s="1"/>
  <c r="AI107" i="4" s="1"/>
  <c r="AQ148" i="4"/>
  <c r="X107" i="4"/>
  <c r="AA107" i="4" s="1"/>
  <c r="AC107" i="4" s="1"/>
  <c r="AD107" i="4" s="1"/>
  <c r="X152" i="4"/>
  <c r="AJ152" i="4" s="1"/>
  <c r="AF93" i="4"/>
  <c r="AG93" i="4" s="1"/>
  <c r="AI93" i="4" s="1"/>
  <c r="X25" i="4"/>
  <c r="AA25" i="4" s="1"/>
  <c r="AC25" i="4" s="1"/>
  <c r="AD25" i="4" s="1"/>
  <c r="AF25" i="4"/>
  <c r="AG25" i="4" s="1"/>
  <c r="AI25" i="4" s="1"/>
  <c r="X93" i="4"/>
  <c r="AF79" i="4"/>
  <c r="AG79" i="4" s="1"/>
  <c r="AI79" i="4" s="1"/>
  <c r="AA81" i="4"/>
  <c r="AP81" i="4" s="1"/>
  <c r="AF133" i="4"/>
  <c r="AG133" i="4" s="1"/>
  <c r="AI133" i="4" s="1"/>
  <c r="AK133" i="4"/>
  <c r="AL133" i="4" s="1"/>
  <c r="AN133" i="4"/>
  <c r="AJ133" i="4"/>
  <c r="AQ133" i="4"/>
  <c r="AP133" i="4"/>
  <c r="X79" i="4"/>
  <c r="AA79" i="4" s="1"/>
  <c r="AC79" i="4" s="1"/>
  <c r="AD79" i="4" s="1"/>
  <c r="AF152" i="4"/>
  <c r="AG152" i="4" s="1"/>
  <c r="AI152" i="4" s="1"/>
  <c r="AN152" i="4"/>
  <c r="AF36" i="4"/>
  <c r="AG36" i="4" s="1"/>
  <c r="AI36" i="4" s="1"/>
  <c r="AN36" i="4"/>
  <c r="AP109" i="4"/>
  <c r="AC109" i="4"/>
  <c r="AD109" i="4" s="1"/>
  <c r="AK109" i="4"/>
  <c r="AL109" i="4" s="1"/>
  <c r="AO109" i="4" s="1"/>
  <c r="AJ109" i="4"/>
  <c r="AK73" i="4"/>
  <c r="AL73" i="4" s="1"/>
  <c r="AO73" i="4" s="1"/>
  <c r="AC148" i="4"/>
  <c r="AD148" i="4" s="1"/>
  <c r="BJ37" i="5"/>
  <c r="BO37" i="5" s="1"/>
  <c r="BK37" i="5"/>
  <c r="BP37" i="5" s="1"/>
  <c r="AH19" i="5"/>
  <c r="AK117" i="4"/>
  <c r="AL117" i="4" s="1"/>
  <c r="AO117" i="4" s="1"/>
  <c r="AA147" i="4"/>
  <c r="AQ147" i="4" s="1"/>
  <c r="AK81" i="4"/>
  <c r="AL81" i="4" s="1"/>
  <c r="AO81" i="4" s="1"/>
  <c r="AA37" i="4"/>
  <c r="AC37" i="4" s="1"/>
  <c r="AD37" i="4" s="1"/>
  <c r="BI217" i="5"/>
  <c r="BK217" i="5" s="1"/>
  <c r="AG217" i="5"/>
  <c r="AK66" i="4"/>
  <c r="AL66" i="4" s="1"/>
  <c r="AO66" i="4" s="1"/>
  <c r="AA69" i="4"/>
  <c r="AQ69" i="4" s="1"/>
  <c r="AA41" i="4"/>
  <c r="AP41" i="4" s="1"/>
  <c r="AG472" i="5"/>
  <c r="AH122" i="5"/>
  <c r="AG122" i="5"/>
  <c r="AK69" i="4"/>
  <c r="AL69" i="4" s="1"/>
  <c r="AO69" i="4" s="1"/>
  <c r="AK142" i="4"/>
  <c r="AL142" i="4" s="1"/>
  <c r="AO142" i="4" s="1"/>
  <c r="AJ142" i="4"/>
  <c r="BI36" i="5"/>
  <c r="BJ36" i="5" s="1"/>
  <c r="AH36" i="5"/>
  <c r="BI199" i="5"/>
  <c r="BK199" i="5" s="1"/>
  <c r="AH444" i="5"/>
  <c r="AH199" i="5"/>
  <c r="AA52" i="4"/>
  <c r="AC52" i="4" s="1"/>
  <c r="AD52" i="4" s="1"/>
  <c r="BI216" i="5"/>
  <c r="BK216" i="5" s="1"/>
  <c r="AA70" i="4"/>
  <c r="AC70" i="4" s="1"/>
  <c r="AD70" i="4" s="1"/>
  <c r="AH274" i="5"/>
  <c r="AH201" i="5"/>
  <c r="AH539" i="5"/>
  <c r="BI106" i="5"/>
  <c r="BJ106" i="5" s="1"/>
  <c r="AG106" i="5"/>
  <c r="AG319" i="5"/>
  <c r="BI238" i="5"/>
  <c r="BK238" i="5" s="1"/>
  <c r="BI237" i="5"/>
  <c r="BJ237" i="5" s="1"/>
  <c r="AQ66" i="4"/>
  <c r="AC66" i="4"/>
  <c r="AD66" i="4" s="1"/>
  <c r="AP66" i="4"/>
  <c r="AA57" i="4"/>
  <c r="AQ57" i="4" s="1"/>
  <c r="BI379" i="5"/>
  <c r="BK379" i="5" s="1"/>
  <c r="AG55" i="5"/>
  <c r="AH116" i="5"/>
  <c r="AG350" i="5"/>
  <c r="AH245" i="5"/>
  <c r="AG379" i="5"/>
  <c r="AG116" i="5"/>
  <c r="AH350" i="5"/>
  <c r="BI444" i="5"/>
  <c r="BJ444" i="5" s="1"/>
  <c r="BH9" i="5"/>
  <c r="AG363" i="5"/>
  <c r="BI274" i="5"/>
  <c r="BJ274" i="5" s="1"/>
  <c r="BI387" i="5"/>
  <c r="BK387" i="5" s="1"/>
  <c r="AG216" i="5"/>
  <c r="AH387" i="5"/>
  <c r="BI245" i="5"/>
  <c r="BJ245" i="5" s="1"/>
  <c r="BI80" i="5"/>
  <c r="BK80" i="5" s="1"/>
  <c r="AK157" i="4"/>
  <c r="AL157" i="4" s="1"/>
  <c r="AO157" i="4" s="1"/>
  <c r="AH152" i="5"/>
  <c r="AG237" i="5"/>
  <c r="AK65" i="4"/>
  <c r="AL65" i="4" s="1"/>
  <c r="AO65" i="4" s="1"/>
  <c r="AQ65" i="4"/>
  <c r="AJ65" i="4"/>
  <c r="AP65" i="4"/>
  <c r="AK120" i="4"/>
  <c r="AL120" i="4" s="1"/>
  <c r="AO120" i="4" s="1"/>
  <c r="AJ157" i="4"/>
  <c r="AH472" i="5"/>
  <c r="AK88" i="4"/>
  <c r="AL88" i="4" s="1"/>
  <c r="AO88" i="4" s="1"/>
  <c r="AG238" i="5"/>
  <c r="BI167" i="5"/>
  <c r="BJ167" i="5" s="1"/>
  <c r="AJ88" i="4"/>
  <c r="AG167" i="5"/>
  <c r="BI436" i="5"/>
  <c r="BK436" i="5" s="1"/>
  <c r="AP157" i="4"/>
  <c r="AH436" i="5"/>
  <c r="BI267" i="5"/>
  <c r="BJ267" i="5" s="1"/>
  <c r="BI378" i="5"/>
  <c r="BJ378" i="5" s="1"/>
  <c r="AC157" i="4"/>
  <c r="AD157" i="4" s="1"/>
  <c r="AH267" i="5"/>
  <c r="AG378" i="5"/>
  <c r="AK84" i="4"/>
  <c r="AL84" i="4" s="1"/>
  <c r="AO84" i="4" s="1"/>
  <c r="AG335" i="5"/>
  <c r="BI508" i="5"/>
  <c r="BK508" i="5" s="1"/>
  <c r="AG477" i="5"/>
  <c r="BI108" i="5"/>
  <c r="BK108" i="5" s="1"/>
  <c r="AJ62" i="4"/>
  <c r="AH477" i="5"/>
  <c r="AC71" i="4"/>
  <c r="AD71" i="4" s="1"/>
  <c r="AQ82" i="4"/>
  <c r="AC82" i="4"/>
  <c r="AD82" i="4" s="1"/>
  <c r="AJ82" i="4"/>
  <c r="AH347" i="5"/>
  <c r="AG34" i="5"/>
  <c r="AH34" i="5"/>
  <c r="AG108" i="5"/>
  <c r="BI9" i="5"/>
  <c r="BK9" i="5" s="1"/>
  <c r="BI235" i="5"/>
  <c r="BK235" i="5" s="1"/>
  <c r="AK143" i="4"/>
  <c r="AL143" i="4" s="1"/>
  <c r="AO143" i="4" s="1"/>
  <c r="AH9" i="5"/>
  <c r="AH235" i="5"/>
  <c r="AP71" i="4"/>
  <c r="BI298" i="5"/>
  <c r="BJ298" i="5" s="1"/>
  <c r="BI250" i="5"/>
  <c r="BK250" i="5" s="1"/>
  <c r="BI354" i="5"/>
  <c r="BJ354" i="5" s="1"/>
  <c r="AK140" i="4"/>
  <c r="AL140" i="4" s="1"/>
  <c r="AO140" i="4" s="1"/>
  <c r="AH298" i="5"/>
  <c r="AH250" i="5"/>
  <c r="AH354" i="5"/>
  <c r="BI347" i="5"/>
  <c r="BK347" i="5" s="1"/>
  <c r="AJ140" i="4"/>
  <c r="AK62" i="4"/>
  <c r="AL62" i="4" s="1"/>
  <c r="AO62" i="4" s="1"/>
  <c r="AK82" i="4"/>
  <c r="AL82" i="4" s="1"/>
  <c r="AO82" i="4" s="1"/>
  <c r="BI86" i="5"/>
  <c r="BJ86" i="5" s="1"/>
  <c r="AQ142" i="4"/>
  <c r="BI429" i="5"/>
  <c r="BJ429" i="5" s="1"/>
  <c r="AP142" i="4"/>
  <c r="BI360" i="5"/>
  <c r="BK360" i="5" s="1"/>
  <c r="AG360" i="5"/>
  <c r="BI305" i="5"/>
  <c r="BK305" i="5" s="1"/>
  <c r="BI393" i="5"/>
  <c r="BK393" i="5" s="1"/>
  <c r="AH305" i="5"/>
  <c r="BL9" i="5"/>
  <c r="BN9" i="5" s="1"/>
  <c r="BI42" i="5"/>
  <c r="BK42" i="5" s="1"/>
  <c r="AH306" i="5"/>
  <c r="AH42" i="5"/>
  <c r="AG556" i="5"/>
  <c r="AH20" i="5"/>
  <c r="BI339" i="5"/>
  <c r="BK339" i="5" s="1"/>
  <c r="BI546" i="5"/>
  <c r="BJ546" i="5" s="1"/>
  <c r="BI483" i="5"/>
  <c r="BK483" i="5" s="1"/>
  <c r="BI516" i="5"/>
  <c r="BJ516" i="5" s="1"/>
  <c r="AG339" i="5"/>
  <c r="BI142" i="5"/>
  <c r="BJ142" i="5" s="1"/>
  <c r="AH516" i="5"/>
  <c r="BI201" i="5"/>
  <c r="BK201" i="5" s="1"/>
  <c r="BI306" i="5"/>
  <c r="BJ306" i="5" s="1"/>
  <c r="AH145" i="5"/>
  <c r="AU9" i="5"/>
  <c r="AG145" i="5"/>
  <c r="AT9" i="5"/>
  <c r="BI414" i="5"/>
  <c r="BJ414" i="5" s="1"/>
  <c r="AG488" i="5"/>
  <c r="AG394" i="5"/>
  <c r="AK136" i="4"/>
  <c r="AL136" i="4" s="1"/>
  <c r="AO136" i="4" s="1"/>
  <c r="AK95" i="4"/>
  <c r="AL95" i="4" s="1"/>
  <c r="AO95" i="4" s="1"/>
  <c r="AJ95" i="4"/>
  <c r="AA51" i="4"/>
  <c r="AC51" i="4" s="1"/>
  <c r="AD51" i="4" s="1"/>
  <c r="AK78" i="4"/>
  <c r="AL78" i="4" s="1"/>
  <c r="AO78" i="4" s="1"/>
  <c r="AP78" i="4"/>
  <c r="AJ78" i="4"/>
  <c r="AC78" i="4"/>
  <c r="AD78" i="4" s="1"/>
  <c r="BI424" i="5"/>
  <c r="BJ424" i="5" s="1"/>
  <c r="AH384" i="5"/>
  <c r="AK70" i="4"/>
  <c r="AL70" i="4" s="1"/>
  <c r="AO70" i="4" s="1"/>
  <c r="AA143" i="4"/>
  <c r="AQ143" i="4" s="1"/>
  <c r="AA87" i="4"/>
  <c r="AA139" i="4"/>
  <c r="AC139" i="4" s="1"/>
  <c r="AD139" i="4" s="1"/>
  <c r="AA61" i="4"/>
  <c r="AQ61" i="4" s="1"/>
  <c r="AG393" i="5"/>
  <c r="BI144" i="5"/>
  <c r="BJ144" i="5" s="1"/>
  <c r="BI344" i="5"/>
  <c r="BK344" i="5" s="1"/>
  <c r="BI82" i="5"/>
  <c r="BJ82" i="5" s="1"/>
  <c r="BI136" i="5"/>
  <c r="BK136" i="5" s="1"/>
  <c r="AG144" i="5"/>
  <c r="AG344" i="5"/>
  <c r="BI170" i="5"/>
  <c r="BJ170" i="5" s="1"/>
  <c r="AG136" i="5"/>
  <c r="AH170" i="5"/>
  <c r="BI479" i="5"/>
  <c r="BK479" i="5" s="1"/>
  <c r="AH490" i="5"/>
  <c r="AH251" i="5"/>
  <c r="BI394" i="5"/>
  <c r="BK394" i="5" s="1"/>
  <c r="BI488" i="5"/>
  <c r="BJ488" i="5" s="1"/>
  <c r="AG479" i="5"/>
  <c r="AG490" i="5"/>
  <c r="AK144" i="4"/>
  <c r="AL144" i="4" s="1"/>
  <c r="AO144" i="4" s="1"/>
  <c r="AP83" i="4"/>
  <c r="AQ83" i="4"/>
  <c r="AK83" i="4"/>
  <c r="AL83" i="4" s="1"/>
  <c r="AO83" i="4" s="1"/>
  <c r="AJ83" i="4"/>
  <c r="AK101" i="4"/>
  <c r="AL101" i="4" s="1"/>
  <c r="AO101" i="4" s="1"/>
  <c r="AP111" i="4"/>
  <c r="AC24" i="4"/>
  <c r="AD24" i="4" s="1"/>
  <c r="AC111" i="4"/>
  <c r="AD111" i="4" s="1"/>
  <c r="BI193" i="5"/>
  <c r="BK193" i="5" s="1"/>
  <c r="AH193" i="5"/>
  <c r="BI165" i="5"/>
  <c r="BK165" i="5" s="1"/>
  <c r="AG165" i="5"/>
  <c r="AH400" i="5"/>
  <c r="AK127" i="4"/>
  <c r="AL127" i="4" s="1"/>
  <c r="AO127" i="4" s="1"/>
  <c r="AA120" i="4"/>
  <c r="AP120" i="4" s="1"/>
  <c r="AA144" i="4"/>
  <c r="AJ149" i="4"/>
  <c r="AA149" i="4"/>
  <c r="AA154" i="4"/>
  <c r="AC154" i="4" s="1"/>
  <c r="AD154" i="4" s="1"/>
  <c r="AA118" i="4"/>
  <c r="AQ118" i="4" s="1"/>
  <c r="AA103" i="4"/>
  <c r="AA68" i="4"/>
  <c r="AQ68" i="4" s="1"/>
  <c r="AA125" i="4"/>
  <c r="AQ125" i="4" s="1"/>
  <c r="BI539" i="5"/>
  <c r="BK539" i="5" s="1"/>
  <c r="AG35" i="5"/>
  <c r="BI501" i="5"/>
  <c r="BK501" i="5" s="1"/>
  <c r="AG31" i="5"/>
  <c r="AG158" i="5"/>
  <c r="AG409" i="5"/>
  <c r="AH495" i="5"/>
  <c r="AG257" i="5"/>
  <c r="AG20" i="5"/>
  <c r="BI517" i="5"/>
  <c r="BJ517" i="5" s="1"/>
  <c r="AG90" i="5"/>
  <c r="AH35" i="5"/>
  <c r="AG501" i="5"/>
  <c r="BI335" i="5"/>
  <c r="BK335" i="5" s="1"/>
  <c r="AH31" i="5"/>
  <c r="AH158" i="5"/>
  <c r="AH409" i="5"/>
  <c r="AH257" i="5"/>
  <c r="AH546" i="5"/>
  <c r="AG414" i="5"/>
  <c r="AG467" i="5"/>
  <c r="AG317" i="5"/>
  <c r="AG503" i="5"/>
  <c r="BI128" i="5"/>
  <c r="BK128" i="5" s="1"/>
  <c r="AH467" i="5"/>
  <c r="AP62" i="4"/>
  <c r="AH483" i="5"/>
  <c r="BI47" i="5"/>
  <c r="BK47" i="5" s="1"/>
  <c r="AH508" i="5"/>
  <c r="AH348" i="5"/>
  <c r="BI499" i="5"/>
  <c r="BJ499" i="5" s="1"/>
  <c r="AH517" i="5"/>
  <c r="AK119" i="4"/>
  <c r="AL119" i="4" s="1"/>
  <c r="AO119" i="4" s="1"/>
  <c r="BI317" i="5"/>
  <c r="BK317" i="5" s="1"/>
  <c r="BI503" i="5"/>
  <c r="BK503" i="5" s="1"/>
  <c r="AG128" i="5"/>
  <c r="BI227" i="5"/>
  <c r="BK227" i="5" s="1"/>
  <c r="AC62" i="4"/>
  <c r="AD62" i="4" s="1"/>
  <c r="BI390" i="5"/>
  <c r="BJ390" i="5" s="1"/>
  <c r="BI117" i="5"/>
  <c r="BJ117" i="5" s="1"/>
  <c r="AG47" i="5"/>
  <c r="BI489" i="5"/>
  <c r="BJ489" i="5" s="1"/>
  <c r="AG348" i="5"/>
  <c r="AG499" i="5"/>
  <c r="BI90" i="5"/>
  <c r="BJ90" i="5" s="1"/>
  <c r="AG227" i="5"/>
  <c r="AH114" i="5"/>
  <c r="AH390" i="5"/>
  <c r="AG117" i="5"/>
  <c r="AH489" i="5"/>
  <c r="BI495" i="5"/>
  <c r="BK495" i="5" s="1"/>
  <c r="AG114" i="5"/>
  <c r="AK37" i="4"/>
  <c r="AL37" i="4" s="1"/>
  <c r="AO37" i="4" s="1"/>
  <c r="AG429" i="5"/>
  <c r="AH424" i="5"/>
  <c r="AH82" i="5"/>
  <c r="BI311" i="5"/>
  <c r="BJ311" i="5" s="1"/>
  <c r="AH86" i="5"/>
  <c r="AG384" i="5"/>
  <c r="BI408" i="5"/>
  <c r="BJ408" i="5" s="1"/>
  <c r="AG140" i="5"/>
  <c r="BI492" i="5"/>
  <c r="BK492" i="5" s="1"/>
  <c r="BI107" i="5"/>
  <c r="BK107" i="5" s="1"/>
  <c r="AH311" i="5"/>
  <c r="BI547" i="5"/>
  <c r="BJ547" i="5" s="1"/>
  <c r="AG408" i="5"/>
  <c r="BI131" i="5"/>
  <c r="BK131" i="5" s="1"/>
  <c r="BI214" i="5"/>
  <c r="BK214" i="5" s="1"/>
  <c r="BI346" i="5"/>
  <c r="BJ346" i="5" s="1"/>
  <c r="AH492" i="5"/>
  <c r="AG107" i="5"/>
  <c r="BI302" i="5"/>
  <c r="BK302" i="5" s="1"/>
  <c r="AH547" i="5"/>
  <c r="BI50" i="5"/>
  <c r="BJ50" i="5" s="1"/>
  <c r="AH131" i="5"/>
  <c r="AG214" i="5"/>
  <c r="AG346" i="5"/>
  <c r="BI359" i="5"/>
  <c r="BK359" i="5" s="1"/>
  <c r="AQ76" i="4"/>
  <c r="AG50" i="5"/>
  <c r="AG359" i="5"/>
  <c r="BI251" i="5"/>
  <c r="BK251" i="5" s="1"/>
  <c r="AG142" i="5"/>
  <c r="AK150" i="4"/>
  <c r="AL150" i="4" s="1"/>
  <c r="AO150" i="4" s="1"/>
  <c r="AH174" i="5"/>
  <c r="AK118" i="4"/>
  <c r="AL118" i="4" s="1"/>
  <c r="AO118" i="4" s="1"/>
  <c r="AJ150" i="4"/>
  <c r="BI556" i="5"/>
  <c r="BJ556" i="5" s="1"/>
  <c r="AQ33" i="4"/>
  <c r="BI400" i="5"/>
  <c r="BJ400" i="5" s="1"/>
  <c r="BI484" i="5"/>
  <c r="BJ484" i="5" s="1"/>
  <c r="BI115" i="5"/>
  <c r="BK115" i="5" s="1"/>
  <c r="AG115" i="5"/>
  <c r="AH149" i="5"/>
  <c r="AH102" i="5"/>
  <c r="BI385" i="5"/>
  <c r="BJ385" i="5" s="1"/>
  <c r="AG385" i="5"/>
  <c r="AG402" i="5"/>
  <c r="BI345" i="5"/>
  <c r="BJ345" i="5" s="1"/>
  <c r="AG30" i="5"/>
  <c r="AH402" i="5"/>
  <c r="AK103" i="4"/>
  <c r="AL103" i="4" s="1"/>
  <c r="AO103" i="4" s="1"/>
  <c r="BI174" i="5"/>
  <c r="BJ174" i="5" s="1"/>
  <c r="BI535" i="5"/>
  <c r="BK535" i="5" s="1"/>
  <c r="AG535" i="5"/>
  <c r="AP33" i="4"/>
  <c r="AK33" i="4"/>
  <c r="AL33" i="4" s="1"/>
  <c r="AO33" i="4" s="1"/>
  <c r="AJ33" i="4"/>
  <c r="AK68" i="4"/>
  <c r="AL68" i="4" s="1"/>
  <c r="AO68" i="4" s="1"/>
  <c r="AK60" i="4"/>
  <c r="AL60" i="4" s="1"/>
  <c r="AO60" i="4" s="1"/>
  <c r="AH41" i="5"/>
  <c r="BI525" i="5"/>
  <c r="BK525" i="5" s="1"/>
  <c r="AG525" i="5"/>
  <c r="BI161" i="5"/>
  <c r="BK161" i="5" s="1"/>
  <c r="AG403" i="5"/>
  <c r="AG484" i="5"/>
  <c r="AG41" i="5"/>
  <c r="AQ126" i="4"/>
  <c r="AH434" i="5"/>
  <c r="AH441" i="5"/>
  <c r="AC126" i="4"/>
  <c r="AD126" i="4" s="1"/>
  <c r="AG441" i="5"/>
  <c r="BI291" i="5"/>
  <c r="BK291" i="5" s="1"/>
  <c r="BI97" i="5"/>
  <c r="BK97" i="5" s="1"/>
  <c r="AP91" i="4"/>
  <c r="AH291" i="5"/>
  <c r="BI372" i="5"/>
  <c r="BK372" i="5" s="1"/>
  <c r="AH97" i="5"/>
  <c r="AC91" i="4"/>
  <c r="AD91" i="4" s="1"/>
  <c r="AJ156" i="4"/>
  <c r="AG372" i="5"/>
  <c r="BI51" i="5"/>
  <c r="BJ51" i="5" s="1"/>
  <c r="BI549" i="5"/>
  <c r="BK549" i="5" s="1"/>
  <c r="AK126" i="4"/>
  <c r="AL126" i="4" s="1"/>
  <c r="AO126" i="4" s="1"/>
  <c r="AH51" i="5"/>
  <c r="AH549" i="5"/>
  <c r="AJ126" i="4"/>
  <c r="BI224" i="5"/>
  <c r="BJ224" i="5" s="1"/>
  <c r="AA17" i="4"/>
  <c r="AQ17" i="4" s="1"/>
  <c r="AH224" i="5"/>
  <c r="AK87" i="4"/>
  <c r="AL87" i="4" s="1"/>
  <c r="AO87" i="4" s="1"/>
  <c r="AG469" i="5"/>
  <c r="BI263" i="5"/>
  <c r="BK263" i="5" s="1"/>
  <c r="BI381" i="5"/>
  <c r="BJ381" i="5" s="1"/>
  <c r="AH109" i="5"/>
  <c r="AP117" i="4"/>
  <c r="AQ96" i="4"/>
  <c r="AP24" i="4"/>
  <c r="AH420" i="5"/>
  <c r="AG456" i="5"/>
  <c r="AG518" i="5"/>
  <c r="AG38" i="5"/>
  <c r="AK154" i="4"/>
  <c r="AL154" i="4" s="1"/>
  <c r="AO154" i="4" s="1"/>
  <c r="AC96" i="4"/>
  <c r="AD96" i="4" s="1"/>
  <c r="AG81" i="5"/>
  <c r="BI176" i="5"/>
  <c r="BJ176" i="5" s="1"/>
  <c r="BI213" i="5"/>
  <c r="BK213" i="5" s="1"/>
  <c r="BI39" i="5"/>
  <c r="BK39" i="5" s="1"/>
  <c r="BI343" i="5"/>
  <c r="BJ343" i="5" s="1"/>
  <c r="AG345" i="5"/>
  <c r="AK36" i="4"/>
  <c r="AL36" i="4" s="1"/>
  <c r="AG176" i="5"/>
  <c r="AG213" i="5"/>
  <c r="AG39" i="5"/>
  <c r="AG343" i="5"/>
  <c r="BI413" i="5"/>
  <c r="BJ413" i="5" s="1"/>
  <c r="BI139" i="5"/>
  <c r="BK139" i="5" s="1"/>
  <c r="AK52" i="4"/>
  <c r="AL52" i="4" s="1"/>
  <c r="AO52" i="4" s="1"/>
  <c r="BI558" i="5"/>
  <c r="BJ558" i="5" s="1"/>
  <c r="AK24" i="4"/>
  <c r="AL24" i="4" s="1"/>
  <c r="AO24" i="4" s="1"/>
  <c r="AG413" i="5"/>
  <c r="BI420" i="5"/>
  <c r="BK420" i="5" s="1"/>
  <c r="BI456" i="5"/>
  <c r="BK456" i="5" s="1"/>
  <c r="AH471" i="5"/>
  <c r="AG139" i="5"/>
  <c r="BI518" i="5"/>
  <c r="BJ518" i="5" s="1"/>
  <c r="AG558" i="5"/>
  <c r="AJ24" i="4"/>
  <c r="AK51" i="4"/>
  <c r="AL51" i="4" s="1"/>
  <c r="AO51" i="4" s="1"/>
  <c r="BI521" i="5"/>
  <c r="BK521" i="5" s="1"/>
  <c r="BI327" i="5"/>
  <c r="BJ327" i="5" s="1"/>
  <c r="AG521" i="5"/>
  <c r="AG327" i="5"/>
  <c r="AG182" i="5"/>
  <c r="BI89" i="5"/>
  <c r="BK89" i="5" s="1"/>
  <c r="AH182" i="5"/>
  <c r="AH89" i="5"/>
  <c r="AH361" i="5"/>
  <c r="AK97" i="4"/>
  <c r="AL97" i="4" s="1"/>
  <c r="AO97" i="4" s="1"/>
  <c r="BI67" i="5"/>
  <c r="BJ67" i="5" s="1"/>
  <c r="AH67" i="5"/>
  <c r="BI537" i="5"/>
  <c r="BK537" i="5" s="1"/>
  <c r="BI168" i="5"/>
  <c r="BK168" i="5" s="1"/>
  <c r="AH537" i="5"/>
  <c r="AH168" i="5"/>
  <c r="BI66" i="5"/>
  <c r="BK66" i="5" s="1"/>
  <c r="AH66" i="5"/>
  <c r="BI361" i="5"/>
  <c r="BK361" i="5" s="1"/>
  <c r="AK17" i="4"/>
  <c r="AL17" i="4" s="1"/>
  <c r="AO17" i="4" s="1"/>
  <c r="AK40" i="4"/>
  <c r="AL40" i="4" s="1"/>
  <c r="AO40" i="4" s="1"/>
  <c r="AK151" i="4"/>
  <c r="AL151" i="4" s="1"/>
  <c r="AO151" i="4" s="1"/>
  <c r="AK147" i="4"/>
  <c r="AL147" i="4" s="1"/>
  <c r="AO147" i="4" s="1"/>
  <c r="BI49" i="5"/>
  <c r="BK49" i="5" s="1"/>
  <c r="AG545" i="5"/>
  <c r="BI52" i="5"/>
  <c r="BJ52" i="5" s="1"/>
  <c r="BI545" i="5"/>
  <c r="BJ545" i="5" s="1"/>
  <c r="AH52" i="5"/>
  <c r="BI338" i="5"/>
  <c r="BJ338" i="5" s="1"/>
  <c r="AH38" i="5"/>
  <c r="AQ137" i="4"/>
  <c r="AC40" i="4"/>
  <c r="AD40" i="4" s="1"/>
  <c r="AP40" i="4"/>
  <c r="AH338" i="5"/>
  <c r="AG198" i="5"/>
  <c r="BI91" i="5"/>
  <c r="BK91" i="5" s="1"/>
  <c r="BI198" i="5"/>
  <c r="BJ198" i="5" s="1"/>
  <c r="AH211" i="5"/>
  <c r="AG443" i="5"/>
  <c r="BI356" i="5"/>
  <c r="BJ356" i="5" s="1"/>
  <c r="BI98" i="5"/>
  <c r="BJ98" i="5" s="1"/>
  <c r="BI443" i="5"/>
  <c r="BJ443" i="5" s="1"/>
  <c r="AG465" i="5"/>
  <c r="AP104" i="4"/>
  <c r="AG326" i="5"/>
  <c r="BI95" i="5"/>
  <c r="BK95" i="5" s="1"/>
  <c r="AH98" i="5"/>
  <c r="AH81" i="5"/>
  <c r="AJ40" i="4"/>
  <c r="BI284" i="5"/>
  <c r="BJ284" i="5" s="1"/>
  <c r="BI446" i="5"/>
  <c r="BK446" i="5" s="1"/>
  <c r="AK104" i="4"/>
  <c r="AL104" i="4" s="1"/>
  <c r="AO104" i="4" s="1"/>
  <c r="AC104" i="4"/>
  <c r="AD104" i="4" s="1"/>
  <c r="BI437" i="5"/>
  <c r="BJ437" i="5" s="1"/>
  <c r="AG284" i="5"/>
  <c r="AH446" i="5"/>
  <c r="AG57" i="5"/>
  <c r="BI512" i="5"/>
  <c r="BK512" i="5" s="1"/>
  <c r="AJ104" i="4"/>
  <c r="AH437" i="5"/>
  <c r="BI293" i="5"/>
  <c r="BK293" i="5" s="1"/>
  <c r="AG512" i="5"/>
  <c r="AG293" i="5"/>
  <c r="AH21" i="5"/>
  <c r="BI465" i="5"/>
  <c r="BK465" i="5" s="1"/>
  <c r="AP137" i="4"/>
  <c r="AP106" i="4"/>
  <c r="BI152" i="5"/>
  <c r="BK152" i="5" s="1"/>
  <c r="BI197" i="5"/>
  <c r="BJ197" i="5" s="1"/>
  <c r="BK19" i="5"/>
  <c r="AJ151" i="4"/>
  <c r="BI496" i="5"/>
  <c r="BK496" i="5" s="1"/>
  <c r="BI63" i="5"/>
  <c r="BK63" i="5" s="1"/>
  <c r="AG63" i="5"/>
  <c r="AK77" i="4"/>
  <c r="AL77" i="4" s="1"/>
  <c r="AO77" i="4" s="1"/>
  <c r="AH522" i="5"/>
  <c r="AP134" i="4"/>
  <c r="AK135" i="4"/>
  <c r="AL135" i="4" s="1"/>
  <c r="AO135" i="4" s="1"/>
  <c r="BI310" i="5"/>
  <c r="BK310" i="5" s="1"/>
  <c r="AQ134" i="4"/>
  <c r="AK100" i="4"/>
  <c r="AL100" i="4" s="1"/>
  <c r="AO100" i="4" s="1"/>
  <c r="AQ124" i="4"/>
  <c r="AP124" i="4"/>
  <c r="AK156" i="4"/>
  <c r="AL156" i="4" s="1"/>
  <c r="AO156" i="4" s="1"/>
  <c r="AJ100" i="4"/>
  <c r="BI256" i="5"/>
  <c r="BJ256" i="5" s="1"/>
  <c r="AP108" i="4"/>
  <c r="AH310" i="5"/>
  <c r="AG478" i="5"/>
  <c r="BI177" i="5"/>
  <c r="BJ177" i="5" s="1"/>
  <c r="AG522" i="5"/>
  <c r="AP26" i="4"/>
  <c r="AH184" i="5"/>
  <c r="AG256" i="5"/>
  <c r="AK26" i="4"/>
  <c r="AL26" i="4" s="1"/>
  <c r="AO26" i="4" s="1"/>
  <c r="AC108" i="4"/>
  <c r="AD108" i="4" s="1"/>
  <c r="AH177" i="5"/>
  <c r="AC26" i="4"/>
  <c r="AD26" i="4" s="1"/>
  <c r="AJ26" i="4"/>
  <c r="BI463" i="5"/>
  <c r="BK463" i="5" s="1"/>
  <c r="AJ85" i="4"/>
  <c r="BI105" i="5"/>
  <c r="BJ105" i="5" s="1"/>
  <c r="BI44" i="5"/>
  <c r="BK44" i="5" s="1"/>
  <c r="BI316" i="5"/>
  <c r="BJ316" i="5" s="1"/>
  <c r="AK85" i="4"/>
  <c r="AL85" i="4" s="1"/>
  <c r="AO85" i="4" s="1"/>
  <c r="AH105" i="5"/>
  <c r="AH44" i="5"/>
  <c r="AH316" i="5"/>
  <c r="AG197" i="5"/>
  <c r="AJ97" i="4"/>
  <c r="BI468" i="5"/>
  <c r="BJ468" i="5" s="1"/>
  <c r="AH91" i="5"/>
  <c r="AC73" i="4"/>
  <c r="AD73" i="4" s="1"/>
  <c r="AG468" i="5"/>
  <c r="BI514" i="5"/>
  <c r="BJ514" i="5" s="1"/>
  <c r="AK108" i="4"/>
  <c r="AL108" i="4" s="1"/>
  <c r="AO108" i="4" s="1"/>
  <c r="AH318" i="5"/>
  <c r="AG157" i="5"/>
  <c r="AH514" i="5"/>
  <c r="AJ108" i="4"/>
  <c r="AO106" i="4"/>
  <c r="AQ73" i="4"/>
  <c r="BI241" i="5"/>
  <c r="BK241" i="5" s="1"/>
  <c r="AA19" i="4"/>
  <c r="AQ19" i="4" s="1"/>
  <c r="AK19" i="4"/>
  <c r="AL19" i="4" s="1"/>
  <c r="AO19" i="4" s="1"/>
  <c r="AQ140" i="4"/>
  <c r="AC140" i="4"/>
  <c r="AD140" i="4" s="1"/>
  <c r="AP140" i="4"/>
  <c r="AQ100" i="4"/>
  <c r="AP100" i="4"/>
  <c r="AC100" i="4"/>
  <c r="AD100" i="4" s="1"/>
  <c r="AA121" i="4"/>
  <c r="AA84" i="4"/>
  <c r="AJ146" i="4"/>
  <c r="AA146" i="4"/>
  <c r="AA119" i="4"/>
  <c r="AP119" i="4" s="1"/>
  <c r="AA55" i="4"/>
  <c r="AQ55" i="4" s="1"/>
  <c r="AA102" i="4"/>
  <c r="AQ102" i="4" s="1"/>
  <c r="AA90" i="4"/>
  <c r="AQ90" i="4" s="1"/>
  <c r="BI109" i="5"/>
  <c r="BK109" i="5" s="1"/>
  <c r="BI30" i="5"/>
  <c r="BK30" i="5" s="1"/>
  <c r="AG49" i="5"/>
  <c r="BI469" i="5"/>
  <c r="BJ469" i="5" s="1"/>
  <c r="AP53" i="4"/>
  <c r="AH253" i="5"/>
  <c r="AK121" i="4"/>
  <c r="AL121" i="4" s="1"/>
  <c r="AO121" i="4" s="1"/>
  <c r="AP76" i="4"/>
  <c r="BI149" i="5"/>
  <c r="BK149" i="5" s="1"/>
  <c r="AG506" i="5"/>
  <c r="BI71" i="5"/>
  <c r="BK71" i="5" s="1"/>
  <c r="AQ99" i="4"/>
  <c r="AH281" i="5"/>
  <c r="BI55" i="5"/>
  <c r="BJ55" i="5" s="1"/>
  <c r="BI162" i="5"/>
  <c r="BJ162" i="5" s="1"/>
  <c r="AG43" i="5"/>
  <c r="AG164" i="5"/>
  <c r="BI363" i="5"/>
  <c r="BJ363" i="5" s="1"/>
  <c r="AH500" i="5"/>
  <c r="BI300" i="5"/>
  <c r="BK300" i="5" s="1"/>
  <c r="AJ135" i="4"/>
  <c r="AG80" i="5"/>
  <c r="AG416" i="5"/>
  <c r="BI295" i="5"/>
  <c r="BK295" i="5" s="1"/>
  <c r="AG300" i="5"/>
  <c r="BI450" i="5"/>
  <c r="BJ450" i="5" s="1"/>
  <c r="BI433" i="5"/>
  <c r="BK433" i="5" s="1"/>
  <c r="AK76" i="4"/>
  <c r="AL76" i="4" s="1"/>
  <c r="AO76" i="4" s="1"/>
  <c r="AP99" i="4"/>
  <c r="BI68" i="5"/>
  <c r="BK68" i="5" s="1"/>
  <c r="BI371" i="5"/>
  <c r="BJ371" i="5" s="1"/>
  <c r="AK53" i="4"/>
  <c r="AL53" i="4" s="1"/>
  <c r="AO53" i="4" s="1"/>
  <c r="AG295" i="5"/>
  <c r="AG450" i="5"/>
  <c r="AH433" i="5"/>
  <c r="BI462" i="5"/>
  <c r="BJ462" i="5" s="1"/>
  <c r="BI498" i="5"/>
  <c r="BJ498" i="5" s="1"/>
  <c r="AJ76" i="4"/>
  <c r="AQ53" i="4"/>
  <c r="AG68" i="5"/>
  <c r="AH371" i="5"/>
  <c r="BI253" i="5"/>
  <c r="BJ253" i="5" s="1"/>
  <c r="AJ53" i="4"/>
  <c r="AH462" i="5"/>
  <c r="BI506" i="5"/>
  <c r="BJ506" i="5" s="1"/>
  <c r="AK57" i="4"/>
  <c r="AL57" i="4" s="1"/>
  <c r="AO57" i="4" s="1"/>
  <c r="BI328" i="5"/>
  <c r="BJ328" i="5" s="1"/>
  <c r="AH478" i="5"/>
  <c r="AG19" i="5"/>
  <c r="AG434" i="5"/>
  <c r="BI54" i="5"/>
  <c r="BK54" i="5" s="1"/>
  <c r="AG349" i="5"/>
  <c r="BI73" i="5"/>
  <c r="BJ73" i="5" s="1"/>
  <c r="AH496" i="5"/>
  <c r="AG191" i="5"/>
  <c r="BI226" i="5"/>
  <c r="BK226" i="5" s="1"/>
  <c r="BI75" i="5"/>
  <c r="BK75" i="5" s="1"/>
  <c r="AH54" i="5"/>
  <c r="AG73" i="5"/>
  <c r="BI232" i="5"/>
  <c r="BK232" i="5" s="1"/>
  <c r="AK89" i="4"/>
  <c r="AL89" i="4" s="1"/>
  <c r="AO89" i="4" s="1"/>
  <c r="BI554" i="5"/>
  <c r="BK554" i="5" s="1"/>
  <c r="BI218" i="5"/>
  <c r="BJ218" i="5" s="1"/>
  <c r="AG226" i="5"/>
  <c r="AG75" i="5"/>
  <c r="AG232" i="5"/>
  <c r="AH554" i="5"/>
  <c r="AK61" i="4"/>
  <c r="AL61" i="4" s="1"/>
  <c r="AO61" i="4" s="1"/>
  <c r="AG218" i="5"/>
  <c r="BI288" i="5"/>
  <c r="BK288" i="5" s="1"/>
  <c r="BI258" i="5"/>
  <c r="BK258" i="5" s="1"/>
  <c r="BI40" i="5"/>
  <c r="BJ40" i="5" s="1"/>
  <c r="AK102" i="4"/>
  <c r="AL102" i="4" s="1"/>
  <c r="AO102" i="4" s="1"/>
  <c r="AK125" i="4"/>
  <c r="AL125" i="4" s="1"/>
  <c r="AO125" i="4" s="1"/>
  <c r="BI458" i="5"/>
  <c r="BJ458" i="5" s="1"/>
  <c r="BI466" i="5"/>
  <c r="BJ466" i="5" s="1"/>
  <c r="AH288" i="5"/>
  <c r="AG258" i="5"/>
  <c r="BI113" i="5"/>
  <c r="BK113" i="5" s="1"/>
  <c r="AH40" i="5"/>
  <c r="BI416" i="5"/>
  <c r="BK416" i="5" s="1"/>
  <c r="AG458" i="5"/>
  <c r="BI500" i="5"/>
  <c r="BJ500" i="5" s="1"/>
  <c r="BI281" i="5"/>
  <c r="BJ281" i="5" s="1"/>
  <c r="BI471" i="5"/>
  <c r="BK471" i="5" s="1"/>
  <c r="BI164" i="5"/>
  <c r="BK164" i="5" s="1"/>
  <c r="AK80" i="4"/>
  <c r="AL80" i="4" s="1"/>
  <c r="AO80" i="4" s="1"/>
  <c r="AK138" i="4"/>
  <c r="AL138" i="4" s="1"/>
  <c r="AC85" i="4"/>
  <c r="AD85" i="4" s="1"/>
  <c r="AQ85" i="4"/>
  <c r="AP85" i="4"/>
  <c r="AQ135" i="4"/>
  <c r="AP135" i="4"/>
  <c r="AC135" i="4"/>
  <c r="AD135" i="4" s="1"/>
  <c r="AQ95" i="4"/>
  <c r="AC95" i="4"/>
  <c r="AD95" i="4" s="1"/>
  <c r="AP95" i="4"/>
  <c r="AC97" i="4"/>
  <c r="AD97" i="4" s="1"/>
  <c r="AP97" i="4"/>
  <c r="AQ97" i="4"/>
  <c r="AC88" i="4"/>
  <c r="AD88" i="4" s="1"/>
  <c r="AQ88" i="4"/>
  <c r="AP88" i="4"/>
  <c r="AQ156" i="4"/>
  <c r="AP156" i="4"/>
  <c r="AC156" i="4"/>
  <c r="AD156" i="4" s="1"/>
  <c r="AC150" i="4"/>
  <c r="AD150" i="4" s="1"/>
  <c r="AP150" i="4"/>
  <c r="AQ150" i="4"/>
  <c r="AJ105" i="4"/>
  <c r="AA105" i="4"/>
  <c r="AJ128" i="4"/>
  <c r="AA128" i="4"/>
  <c r="BI447" i="5"/>
  <c r="BJ447" i="5" s="1"/>
  <c r="AK139" i="4"/>
  <c r="AL139" i="4" s="1"/>
  <c r="AO139" i="4" s="1"/>
  <c r="AJ145" i="4"/>
  <c r="AA145" i="4"/>
  <c r="AA127" i="4"/>
  <c r="AJ86" i="4"/>
  <c r="AA86" i="4"/>
  <c r="AH447" i="5"/>
  <c r="AC117" i="4"/>
  <c r="AD117" i="4" s="1"/>
  <c r="B270" i="2"/>
  <c r="B279" i="2" s="1"/>
  <c r="F109" i="1" s="1"/>
  <c r="B277" i="2"/>
  <c r="F108" i="1" s="1"/>
  <c r="AK116" i="4"/>
  <c r="AL116" i="4" s="1"/>
  <c r="AO116" i="4" s="1"/>
  <c r="AQ129" i="4"/>
  <c r="AC129" i="4"/>
  <c r="AD129" i="4" s="1"/>
  <c r="AP129" i="4"/>
  <c r="AJ75" i="4"/>
  <c r="AA75" i="4"/>
  <c r="AK128" i="4"/>
  <c r="AL128" i="4" s="1"/>
  <c r="AO128" i="4" s="1"/>
  <c r="AK105" i="4"/>
  <c r="AL105" i="4" s="1"/>
  <c r="AO105" i="4" s="1"/>
  <c r="AA114" i="4"/>
  <c r="AA116" i="4"/>
  <c r="AA112" i="4"/>
  <c r="AA80" i="4"/>
  <c r="AK132" i="4"/>
  <c r="AL132" i="4" s="1"/>
  <c r="AO132" i="4" s="1"/>
  <c r="BI244" i="5"/>
  <c r="BJ244" i="5" s="1"/>
  <c r="AP151" i="4"/>
  <c r="AQ106" i="4"/>
  <c r="AK86" i="4"/>
  <c r="AL86" i="4" s="1"/>
  <c r="AO86" i="4" s="1"/>
  <c r="AJ131" i="4"/>
  <c r="AA131" i="4"/>
  <c r="AC98" i="4"/>
  <c r="AD98" i="4" s="1"/>
  <c r="AQ98" i="4"/>
  <c r="AJ92" i="4"/>
  <c r="AA92" i="4"/>
  <c r="AA89" i="4"/>
  <c r="AA138" i="4"/>
  <c r="AA60" i="4"/>
  <c r="AH244" i="5"/>
  <c r="AK114" i="4"/>
  <c r="AL114" i="4" s="1"/>
  <c r="AO114" i="4" s="1"/>
  <c r="AK112" i="4"/>
  <c r="AL112" i="4" s="1"/>
  <c r="AO112" i="4" s="1"/>
  <c r="AJ58" i="4"/>
  <c r="AA58" i="4"/>
  <c r="AJ122" i="4"/>
  <c r="AA122" i="4"/>
  <c r="AA101" i="4"/>
  <c r="AK90" i="4"/>
  <c r="AL90" i="4" s="1"/>
  <c r="AO90" i="4" s="1"/>
  <c r="AA77" i="4"/>
  <c r="AA132" i="4"/>
  <c r="AC151" i="4"/>
  <c r="AD151" i="4" s="1"/>
  <c r="AC74" i="4"/>
  <c r="AD74" i="4" s="1"/>
  <c r="AQ74" i="4"/>
  <c r="AP74" i="4"/>
  <c r="AK113" i="4"/>
  <c r="AL113" i="4" s="1"/>
  <c r="AO113" i="4" s="1"/>
  <c r="AA136" i="4"/>
  <c r="AA113" i="4"/>
  <c r="AG178" i="5"/>
  <c r="AG150" i="5"/>
  <c r="BI138" i="5"/>
  <c r="BJ138" i="5" s="1"/>
  <c r="BI248" i="5"/>
  <c r="BK248" i="5" s="1"/>
  <c r="AG194" i="5"/>
  <c r="AH418" i="5"/>
  <c r="AG254" i="5"/>
  <c r="AG248" i="5"/>
  <c r="BI475" i="5"/>
  <c r="BK475" i="5" s="1"/>
  <c r="AH326" i="5"/>
  <c r="AG352" i="5"/>
  <c r="AH349" i="5"/>
  <c r="AH191" i="5"/>
  <c r="AG328" i="5"/>
  <c r="AH162" i="5"/>
  <c r="AK11" i="4"/>
  <c r="AL11" i="4" s="1"/>
  <c r="AO11" i="4" s="1"/>
  <c r="BI297" i="5"/>
  <c r="BK297" i="5" s="1"/>
  <c r="BI386" i="5"/>
  <c r="BJ386" i="5" s="1"/>
  <c r="AH84" i="5"/>
  <c r="AG155" i="5"/>
  <c r="AG386" i="5"/>
  <c r="AA11" i="4"/>
  <c r="AP11" i="4" s="1"/>
  <c r="BI43" i="5"/>
  <c r="BK43" i="5" s="1"/>
  <c r="AG498" i="5"/>
  <c r="AQ28" i="4"/>
  <c r="AH323" i="5"/>
  <c r="BI340" i="5"/>
  <c r="BJ340" i="5" s="1"/>
  <c r="AG330" i="5"/>
  <c r="AH262" i="5"/>
  <c r="BI125" i="5"/>
  <c r="BK125" i="5" s="1"/>
  <c r="AH551" i="5"/>
  <c r="AH364" i="5"/>
  <c r="AG72" i="5"/>
  <c r="AG551" i="5"/>
  <c r="BI296" i="5"/>
  <c r="BJ296" i="5" s="1"/>
  <c r="AG163" i="5"/>
  <c r="AH147" i="5"/>
  <c r="AH276" i="5"/>
  <c r="AH439" i="5"/>
  <c r="BI163" i="5"/>
  <c r="BK163" i="5" s="1"/>
  <c r="AG147" i="5"/>
  <c r="AH365" i="5"/>
  <c r="AH320" i="5"/>
  <c r="AG460" i="5"/>
  <c r="AG439" i="5"/>
  <c r="BI374" i="5"/>
  <c r="BK374" i="5" s="1"/>
  <c r="AH544" i="5"/>
  <c r="AH173" i="5"/>
  <c r="AH453" i="5"/>
  <c r="AG454" i="5"/>
  <c r="AG544" i="5"/>
  <c r="BI254" i="5"/>
  <c r="BJ254" i="5" s="1"/>
  <c r="BI331" i="5"/>
  <c r="BK331" i="5" s="1"/>
  <c r="AH138" i="5"/>
  <c r="BI395" i="5"/>
  <c r="BK395" i="5" s="1"/>
  <c r="BI209" i="5"/>
  <c r="BJ209" i="5" s="1"/>
  <c r="BI21" i="5"/>
  <c r="BJ21" i="5" s="1"/>
  <c r="AG475" i="5"/>
  <c r="BI194" i="5"/>
  <c r="BK194" i="5" s="1"/>
  <c r="AH340" i="5"/>
  <c r="BI53" i="5"/>
  <c r="BJ53" i="5" s="1"/>
  <c r="AH296" i="5"/>
  <c r="AH374" i="5"/>
  <c r="BI273" i="5"/>
  <c r="BJ273" i="5" s="1"/>
  <c r="BI373" i="5"/>
  <c r="BK373" i="5" s="1"/>
  <c r="AG71" i="5"/>
  <c r="BI222" i="5"/>
  <c r="BK222" i="5" s="1"/>
  <c r="AG172" i="5"/>
  <c r="AH395" i="5"/>
  <c r="AH209" i="5"/>
  <c r="BI357" i="5"/>
  <c r="BK357" i="5" s="1"/>
  <c r="BI491" i="5"/>
  <c r="BJ491" i="5" s="1"/>
  <c r="AG79" i="5"/>
  <c r="AH53" i="5"/>
  <c r="AH330" i="5"/>
  <c r="BI229" i="5"/>
  <c r="BJ229" i="5" s="1"/>
  <c r="BI111" i="5"/>
  <c r="BK111" i="5" s="1"/>
  <c r="AG273" i="5"/>
  <c r="BI497" i="5"/>
  <c r="BJ497" i="5" s="1"/>
  <c r="AG373" i="5"/>
  <c r="AH222" i="5"/>
  <c r="BI341" i="5"/>
  <c r="BJ341" i="5" s="1"/>
  <c r="BI485" i="5"/>
  <c r="BK485" i="5" s="1"/>
  <c r="AG497" i="5"/>
  <c r="BI362" i="5"/>
  <c r="BK362" i="5" s="1"/>
  <c r="AK55" i="4"/>
  <c r="AL55" i="4" s="1"/>
  <c r="AO55" i="4" s="1"/>
  <c r="AH341" i="5"/>
  <c r="BI230" i="5"/>
  <c r="BJ230" i="5" s="1"/>
  <c r="AH161" i="5"/>
  <c r="AH357" i="5"/>
  <c r="AG491" i="5"/>
  <c r="BI451" i="5"/>
  <c r="BJ451" i="5" s="1"/>
  <c r="AG449" i="5"/>
  <c r="BI324" i="5"/>
  <c r="BJ324" i="5" s="1"/>
  <c r="AG229" i="5"/>
  <c r="BI532" i="5"/>
  <c r="BK532" i="5" s="1"/>
  <c r="AH111" i="5"/>
  <c r="AG302" i="5"/>
  <c r="AH242" i="5"/>
  <c r="AG485" i="5"/>
  <c r="AH448" i="5"/>
  <c r="AG25" i="5"/>
  <c r="AH362" i="5"/>
  <c r="BI520" i="5"/>
  <c r="BK520" i="5" s="1"/>
  <c r="BI178" i="5"/>
  <c r="BJ178" i="5" s="1"/>
  <c r="BI320" i="5"/>
  <c r="BK320" i="5" s="1"/>
  <c r="BI150" i="5"/>
  <c r="BJ150" i="5" s="1"/>
  <c r="AH125" i="5"/>
  <c r="AH451" i="5"/>
  <c r="BI276" i="5"/>
  <c r="BK276" i="5" s="1"/>
  <c r="AH449" i="5"/>
  <c r="AG324" i="5"/>
  <c r="BI364" i="5"/>
  <c r="BJ364" i="5" s="1"/>
  <c r="AG532" i="5"/>
  <c r="BI262" i="5"/>
  <c r="BK262" i="5" s="1"/>
  <c r="BI453" i="5"/>
  <c r="BK453" i="5" s="1"/>
  <c r="BI365" i="5"/>
  <c r="BK365" i="5" s="1"/>
  <c r="AG448" i="5"/>
  <c r="BI454" i="5"/>
  <c r="BK454" i="5" s="1"/>
  <c r="BI72" i="5"/>
  <c r="BK72" i="5" s="1"/>
  <c r="AG331" i="5"/>
  <c r="BI418" i="5"/>
  <c r="BJ418" i="5" s="1"/>
  <c r="AG78" i="5"/>
  <c r="BI422" i="5"/>
  <c r="BK422" i="5" s="1"/>
  <c r="BI160" i="5"/>
  <c r="BJ160" i="5" s="1"/>
  <c r="AQ31" i="4"/>
  <c r="AK31" i="4"/>
  <c r="AL31" i="4" s="1"/>
  <c r="AO31" i="4" s="1"/>
  <c r="AG428" i="5"/>
  <c r="BI428" i="5"/>
  <c r="BJ428" i="5" s="1"/>
  <c r="AP31" i="4"/>
  <c r="AJ31" i="4"/>
  <c r="AH422" i="5"/>
  <c r="AG160" i="5"/>
  <c r="BI132" i="5"/>
  <c r="BK132" i="5" s="1"/>
  <c r="BI29" i="5"/>
  <c r="BK29" i="5" s="1"/>
  <c r="BI511" i="5"/>
  <c r="BK511" i="5" s="1"/>
  <c r="BI367" i="5"/>
  <c r="BK367" i="5" s="1"/>
  <c r="BI337" i="5"/>
  <c r="BK337" i="5" s="1"/>
  <c r="AH511" i="5"/>
  <c r="AH367" i="5"/>
  <c r="AG337" i="5"/>
  <c r="AG510" i="5"/>
  <c r="BI57" i="5"/>
  <c r="BJ57" i="5" s="1"/>
  <c r="AG113" i="5"/>
  <c r="AG225" i="5"/>
  <c r="AG22" i="5"/>
  <c r="BI215" i="5"/>
  <c r="BK215" i="5" s="1"/>
  <c r="BI529" i="5"/>
  <c r="BK529" i="5" s="1"/>
  <c r="AH519" i="5"/>
  <c r="AG329" i="5"/>
  <c r="AH215" i="5"/>
  <c r="BI290" i="5"/>
  <c r="BJ290" i="5" s="1"/>
  <c r="AG519" i="5"/>
  <c r="AG130" i="5"/>
  <c r="BI421" i="5"/>
  <c r="BJ421" i="5" s="1"/>
  <c r="AG236" i="5"/>
  <c r="AH529" i="5"/>
  <c r="AH268" i="5"/>
  <c r="AG24" i="5"/>
  <c r="AH188" i="5"/>
  <c r="AH421" i="5"/>
  <c r="AH83" i="5"/>
  <c r="AG277" i="5"/>
  <c r="AH412" i="5"/>
  <c r="BI59" i="5"/>
  <c r="BJ59" i="5" s="1"/>
  <c r="AH369" i="5"/>
  <c r="AH112" i="5"/>
  <c r="BI342" i="5"/>
  <c r="BJ342" i="5" s="1"/>
  <c r="AG59" i="5"/>
  <c r="BI260" i="5"/>
  <c r="BJ260" i="5" s="1"/>
  <c r="AG8" i="5"/>
  <c r="AH342" i="5"/>
  <c r="AH464" i="5"/>
  <c r="BI22" i="5"/>
  <c r="BK22" i="5" s="1"/>
  <c r="BI329" i="5"/>
  <c r="BJ329" i="5" s="1"/>
  <c r="AG398" i="5"/>
  <c r="BI382" i="5"/>
  <c r="BK382" i="5" s="1"/>
  <c r="AG132" i="5"/>
  <c r="AG268" i="5"/>
  <c r="AH26" i="5"/>
  <c r="BI87" i="5"/>
  <c r="BJ87" i="5" s="1"/>
  <c r="AH24" i="5"/>
  <c r="BI452" i="5"/>
  <c r="BK452" i="5" s="1"/>
  <c r="BI336" i="5"/>
  <c r="BJ336" i="5" s="1"/>
  <c r="AH130" i="5"/>
  <c r="AH8" i="5"/>
  <c r="AG188" i="5"/>
  <c r="AH398" i="5"/>
  <c r="AG464" i="5"/>
  <c r="AH382" i="5"/>
  <c r="AG26" i="5"/>
  <c r="AG87" i="5"/>
  <c r="AH452" i="5"/>
  <c r="BI334" i="5"/>
  <c r="BK334" i="5" s="1"/>
  <c r="AG336" i="5"/>
  <c r="BI404" i="5"/>
  <c r="BJ404" i="5" s="1"/>
  <c r="AG127" i="5"/>
  <c r="BI314" i="5"/>
  <c r="BJ314" i="5" s="1"/>
  <c r="BI540" i="5"/>
  <c r="BK540" i="5" s="1"/>
  <c r="BI269" i="5"/>
  <c r="BK269" i="5" s="1"/>
  <c r="AG334" i="5"/>
  <c r="AG207" i="5"/>
  <c r="AG404" i="5"/>
  <c r="AH127" i="5"/>
  <c r="BI118" i="5"/>
  <c r="BJ118" i="5" s="1"/>
  <c r="AH314" i="5"/>
  <c r="BI121" i="5"/>
  <c r="BJ121" i="5" s="1"/>
  <c r="AH540" i="5"/>
  <c r="BI425" i="5"/>
  <c r="BJ425" i="5" s="1"/>
  <c r="AG487" i="5"/>
  <c r="BI32" i="5"/>
  <c r="BK32" i="5" s="1"/>
  <c r="BI369" i="5"/>
  <c r="BJ369" i="5" s="1"/>
  <c r="BI277" i="5"/>
  <c r="BJ277" i="5" s="1"/>
  <c r="AH121" i="5"/>
  <c r="BI286" i="5"/>
  <c r="BK286" i="5" s="1"/>
  <c r="AG425" i="5"/>
  <c r="AH487" i="5"/>
  <c r="AH32" i="5"/>
  <c r="BI156" i="5"/>
  <c r="BJ156" i="5" s="1"/>
  <c r="AH286" i="5"/>
  <c r="BI56" i="5"/>
  <c r="BJ56" i="5" s="1"/>
  <c r="AH541" i="5"/>
  <c r="BI112" i="5"/>
  <c r="BK112" i="5" s="1"/>
  <c r="AH290" i="5"/>
  <c r="AK54" i="4"/>
  <c r="AL54" i="4" s="1"/>
  <c r="AO54" i="4" s="1"/>
  <c r="AG260" i="5"/>
  <c r="BI412" i="5"/>
  <c r="BK412" i="5" s="1"/>
  <c r="AH156" i="5"/>
  <c r="AH56" i="5"/>
  <c r="AG541" i="5"/>
  <c r="BI236" i="5"/>
  <c r="BJ236" i="5" s="1"/>
  <c r="BI83" i="5"/>
  <c r="BJ83" i="5" s="1"/>
  <c r="AG278" i="5"/>
  <c r="AG440" i="5"/>
  <c r="AG279" i="5"/>
  <c r="AG181" i="5"/>
  <c r="AG221" i="5"/>
  <c r="AH261" i="5"/>
  <c r="BI206" i="5"/>
  <c r="BJ206" i="5" s="1"/>
  <c r="AH427" i="5"/>
  <c r="BI242" i="5"/>
  <c r="BJ242" i="5" s="1"/>
  <c r="AH432" i="5"/>
  <c r="AG494" i="5"/>
  <c r="BI318" i="5"/>
  <c r="BJ318" i="5" s="1"/>
  <c r="BI181" i="5"/>
  <c r="BK181" i="5" s="1"/>
  <c r="BI403" i="5"/>
  <c r="BJ403" i="5" s="1"/>
  <c r="AG427" i="5"/>
  <c r="BI25" i="5"/>
  <c r="BK25" i="5" s="1"/>
  <c r="AG263" i="5"/>
  <c r="AH95" i="5"/>
  <c r="AG381" i="5"/>
  <c r="BI431" i="5"/>
  <c r="BJ431" i="5" s="1"/>
  <c r="BI204" i="5"/>
  <c r="BK204" i="5" s="1"/>
  <c r="BI61" i="5"/>
  <c r="BJ61" i="5" s="1"/>
  <c r="AG431" i="5"/>
  <c r="AH321" i="5"/>
  <c r="AG204" i="5"/>
  <c r="AG423" i="5"/>
  <c r="AG61" i="5"/>
  <c r="BI536" i="5"/>
  <c r="BJ536" i="5" s="1"/>
  <c r="BI440" i="5"/>
  <c r="BJ440" i="5" s="1"/>
  <c r="BI524" i="5"/>
  <c r="BJ524" i="5" s="1"/>
  <c r="AH455" i="5"/>
  <c r="AH536" i="5"/>
  <c r="AG219" i="5"/>
  <c r="BI552" i="5"/>
  <c r="BJ552" i="5" s="1"/>
  <c r="BI279" i="5"/>
  <c r="BK279" i="5" s="1"/>
  <c r="BI270" i="5"/>
  <c r="BK270" i="5" s="1"/>
  <c r="BI221" i="5"/>
  <c r="BK221" i="5" s="1"/>
  <c r="BI261" i="5"/>
  <c r="BK261" i="5" s="1"/>
  <c r="AH542" i="5"/>
  <c r="AG143" i="5"/>
  <c r="AH552" i="5"/>
  <c r="BI550" i="5"/>
  <c r="BK550" i="5" s="1"/>
  <c r="AG282" i="5"/>
  <c r="BN10" i="5"/>
  <c r="BI93" i="5"/>
  <c r="BJ93" i="5" s="1"/>
  <c r="BI486" i="5"/>
  <c r="BK486" i="5" s="1"/>
  <c r="BI123" i="5"/>
  <c r="BK123" i="5" s="1"/>
  <c r="AG196" i="5"/>
  <c r="AH129" i="5"/>
  <c r="AH137" i="5"/>
  <c r="BI406" i="5"/>
  <c r="BK406" i="5" s="1"/>
  <c r="BI88" i="5"/>
  <c r="BK88" i="5" s="1"/>
  <c r="AH64" i="5"/>
  <c r="AG259" i="5"/>
  <c r="AG64" i="5"/>
  <c r="AH88" i="5"/>
  <c r="BI231" i="5"/>
  <c r="BK231" i="5" s="1"/>
  <c r="AG93" i="5"/>
  <c r="AH259" i="5"/>
  <c r="BI101" i="5"/>
  <c r="BK101" i="5" s="1"/>
  <c r="BI275" i="5"/>
  <c r="BJ275" i="5" s="1"/>
  <c r="AH550" i="5"/>
  <c r="BI299" i="5"/>
  <c r="BJ299" i="5" s="1"/>
  <c r="AH282" i="5"/>
  <c r="AG486" i="5"/>
  <c r="BI252" i="5"/>
  <c r="BJ252" i="5" s="1"/>
  <c r="AH123" i="5"/>
  <c r="AG137" i="5"/>
  <c r="AH406" i="5"/>
  <c r="BI476" i="5"/>
  <c r="BJ476" i="5" s="1"/>
  <c r="AG231" i="5"/>
  <c r="AH101" i="5"/>
  <c r="AO63" i="4"/>
  <c r="AU63" i="4" s="1"/>
  <c r="AW63" i="4" s="1"/>
  <c r="AG275" i="5"/>
  <c r="BI202" i="5"/>
  <c r="BK202" i="5" s="1"/>
  <c r="BI104" i="5"/>
  <c r="BK104" i="5" s="1"/>
  <c r="BI482" i="5"/>
  <c r="BK482" i="5" s="1"/>
  <c r="BI154" i="5"/>
  <c r="BJ154" i="5" s="1"/>
  <c r="AG299" i="5"/>
  <c r="BI332" i="5"/>
  <c r="BJ332" i="5" s="1"/>
  <c r="AG252" i="5"/>
  <c r="AG476" i="5"/>
  <c r="BI205" i="5"/>
  <c r="BJ205" i="5" s="1"/>
  <c r="AH202" i="5"/>
  <c r="AG104" i="5"/>
  <c r="AH482" i="5"/>
  <c r="AH154" i="5"/>
  <c r="BI312" i="5"/>
  <c r="BJ312" i="5" s="1"/>
  <c r="BI110" i="5"/>
  <c r="BK110" i="5" s="1"/>
  <c r="AG332" i="5"/>
  <c r="BI85" i="5"/>
  <c r="BK85" i="5" s="1"/>
  <c r="BI513" i="5"/>
  <c r="BK513" i="5" s="1"/>
  <c r="BI289" i="5"/>
  <c r="BK289" i="5" s="1"/>
  <c r="BI285" i="5"/>
  <c r="BJ285" i="5" s="1"/>
  <c r="BI507" i="5"/>
  <c r="BK507" i="5" s="1"/>
  <c r="BI94" i="5"/>
  <c r="BK94" i="5" s="1"/>
  <c r="AH312" i="5"/>
  <c r="BI190" i="5"/>
  <c r="BK190" i="5" s="1"/>
  <c r="AH110" i="5"/>
  <c r="BI265" i="5"/>
  <c r="BK265" i="5" s="1"/>
  <c r="BI233" i="5"/>
  <c r="BJ233" i="5" s="1"/>
  <c r="BI148" i="5"/>
  <c r="BK148" i="5" s="1"/>
  <c r="AG85" i="5"/>
  <c r="BI445" i="5"/>
  <c r="BK445" i="5" s="1"/>
  <c r="AH513" i="5"/>
  <c r="BI220" i="5"/>
  <c r="BK220" i="5" s="1"/>
  <c r="BI280" i="5"/>
  <c r="BJ280" i="5" s="1"/>
  <c r="AG289" i="5"/>
  <c r="AG285" i="5"/>
  <c r="AH507" i="5"/>
  <c r="AH94" i="5"/>
  <c r="BI407" i="5"/>
  <c r="BJ407" i="5" s="1"/>
  <c r="BI99" i="5"/>
  <c r="BK99" i="5" s="1"/>
  <c r="BI180" i="5"/>
  <c r="BJ180" i="5" s="1"/>
  <c r="AG190" i="5"/>
  <c r="AG265" i="5"/>
  <c r="AG233" i="5"/>
  <c r="AH148" i="5"/>
  <c r="AH375" i="5"/>
  <c r="AH445" i="5"/>
  <c r="AH220" i="5"/>
  <c r="AH280" i="5"/>
  <c r="BI196" i="5"/>
  <c r="BK196" i="5" s="1"/>
  <c r="BI278" i="5"/>
  <c r="BK278" i="5" s="1"/>
  <c r="AH407" i="5"/>
  <c r="AG99" i="5"/>
  <c r="AG180" i="5"/>
  <c r="BI129" i="5"/>
  <c r="BJ129" i="5" s="1"/>
  <c r="AO96" i="4"/>
  <c r="AG377" i="5"/>
  <c r="AG376" i="5"/>
  <c r="AC28" i="4"/>
  <c r="AD28" i="4" s="1"/>
  <c r="BI211" i="5"/>
  <c r="BK211" i="5" s="1"/>
  <c r="BI352" i="5"/>
  <c r="BJ352" i="5" s="1"/>
  <c r="BI79" i="5"/>
  <c r="BK79" i="5" s="1"/>
  <c r="AH438" i="5"/>
  <c r="AG84" i="5"/>
  <c r="BI323" i="5"/>
  <c r="BK323" i="5" s="1"/>
  <c r="BI155" i="5"/>
  <c r="BJ155" i="5" s="1"/>
  <c r="AJ28" i="4"/>
  <c r="AH356" i="5"/>
  <c r="BI308" i="5"/>
  <c r="BK308" i="5" s="1"/>
  <c r="AH241" i="5"/>
  <c r="BI548" i="5"/>
  <c r="BJ548" i="5" s="1"/>
  <c r="BI228" i="5"/>
  <c r="BK228" i="5" s="1"/>
  <c r="AK46" i="4"/>
  <c r="AL46" i="4" s="1"/>
  <c r="AG103" i="5"/>
  <c r="BI534" i="5"/>
  <c r="BJ534" i="5" s="1"/>
  <c r="AH383" i="5"/>
  <c r="BI543" i="5"/>
  <c r="BK543" i="5" s="1"/>
  <c r="AG297" i="5"/>
  <c r="BI208" i="5"/>
  <c r="BK208" i="5" s="1"/>
  <c r="AG308" i="5"/>
  <c r="AG548" i="5"/>
  <c r="AG228" i="5"/>
  <c r="AJ46" i="4"/>
  <c r="AH23" i="5"/>
  <c r="AG534" i="5"/>
  <c r="AH543" i="5"/>
  <c r="AG287" i="5"/>
  <c r="AG77" i="5"/>
  <c r="AH208" i="5"/>
  <c r="BI212" i="5"/>
  <c r="BK212" i="5" s="1"/>
  <c r="BI401" i="5"/>
  <c r="BK401" i="5" s="1"/>
  <c r="BI410" i="5"/>
  <c r="BJ410" i="5" s="1"/>
  <c r="BI69" i="5"/>
  <c r="BK69" i="5" s="1"/>
  <c r="BI186" i="5"/>
  <c r="BK186" i="5" s="1"/>
  <c r="BI203" i="5"/>
  <c r="BJ203" i="5" s="1"/>
  <c r="BI351" i="5"/>
  <c r="BK351" i="5" s="1"/>
  <c r="BI555" i="5"/>
  <c r="BK555" i="5" s="1"/>
  <c r="BI553" i="5"/>
  <c r="BJ553" i="5" s="1"/>
  <c r="BI470" i="5"/>
  <c r="BJ470" i="5" s="1"/>
  <c r="AH212" i="5"/>
  <c r="AG401" i="5"/>
  <c r="AG410" i="5"/>
  <c r="AH69" i="5"/>
  <c r="AH186" i="5"/>
  <c r="AG203" i="5"/>
  <c r="AG351" i="5"/>
  <c r="AH530" i="5"/>
  <c r="BI377" i="5"/>
  <c r="BK377" i="5" s="1"/>
  <c r="BI376" i="5"/>
  <c r="BJ376" i="5" s="1"/>
  <c r="AH470" i="5"/>
  <c r="BI48" i="5"/>
  <c r="BK48" i="5" s="1"/>
  <c r="BI438" i="5"/>
  <c r="BK438" i="5" s="1"/>
  <c r="BI557" i="5"/>
  <c r="BJ557" i="5" s="1"/>
  <c r="AH48" i="5"/>
  <c r="AK28" i="4"/>
  <c r="AL28" i="4" s="1"/>
  <c r="AO28" i="4" s="1"/>
  <c r="BI185" i="5"/>
  <c r="BJ185" i="5" s="1"/>
  <c r="AG270" i="5"/>
  <c r="AH140" i="5"/>
  <c r="BI504" i="5"/>
  <c r="BK504" i="5" s="1"/>
  <c r="AG542" i="5"/>
  <c r="AH423" i="5"/>
  <c r="BI481" i="5"/>
  <c r="BK481" i="5" s="1"/>
  <c r="AG432" i="5"/>
  <c r="BI100" i="5"/>
  <c r="BJ100" i="5" s="1"/>
  <c r="AG481" i="5"/>
  <c r="AH46" i="5"/>
  <c r="AH185" i="5"/>
  <c r="BI200" i="5"/>
  <c r="BK200" i="5" s="1"/>
  <c r="BI292" i="5"/>
  <c r="BJ292" i="5" s="1"/>
  <c r="AK41" i="4"/>
  <c r="AL41" i="4" s="1"/>
  <c r="AO41" i="4" s="1"/>
  <c r="BI307" i="5"/>
  <c r="BK307" i="5" s="1"/>
  <c r="BI249" i="5"/>
  <c r="BJ249" i="5" s="1"/>
  <c r="AH292" i="5"/>
  <c r="BI179" i="5"/>
  <c r="BJ179" i="5" s="1"/>
  <c r="AG307" i="5"/>
  <c r="AH249" i="5"/>
  <c r="AG58" i="5"/>
  <c r="BI187" i="5"/>
  <c r="BK187" i="5" s="1"/>
  <c r="BI321" i="5"/>
  <c r="BK321" i="5" s="1"/>
  <c r="AG179" i="5"/>
  <c r="BI502" i="5"/>
  <c r="BK502" i="5" s="1"/>
  <c r="BI184" i="5"/>
  <c r="BK184" i="5" s="1"/>
  <c r="BI455" i="5"/>
  <c r="BJ455" i="5" s="1"/>
  <c r="BI219" i="5"/>
  <c r="BJ219" i="5" s="1"/>
  <c r="AH58" i="5"/>
  <c r="AH557" i="5"/>
  <c r="AG187" i="5"/>
  <c r="AH515" i="5"/>
  <c r="AG538" i="5"/>
  <c r="BI366" i="5"/>
  <c r="BJ366" i="5" s="1"/>
  <c r="AK50" i="4"/>
  <c r="AL50" i="4" s="1"/>
  <c r="AO50" i="4" s="1"/>
  <c r="AP46" i="4"/>
  <c r="AQ46" i="4"/>
  <c r="AC46" i="4"/>
  <c r="AD46" i="4" s="1"/>
  <c r="AA50" i="4"/>
  <c r="AJ44" i="4"/>
  <c r="AA44" i="4"/>
  <c r="AK44" i="4"/>
  <c r="AL44" i="4" s="1"/>
  <c r="AO44" i="4" s="1"/>
  <c r="AA54" i="4"/>
  <c r="AG269" i="5"/>
  <c r="AH206" i="5"/>
  <c r="BI459" i="5"/>
  <c r="BJ459" i="5" s="1"/>
  <c r="BI493" i="5"/>
  <c r="BJ493" i="5" s="1"/>
  <c r="BI126" i="5"/>
  <c r="BJ126" i="5" s="1"/>
  <c r="AH459" i="5"/>
  <c r="AG493" i="5"/>
  <c r="AG126" i="5"/>
  <c r="BI76" i="5"/>
  <c r="BK76" i="5" s="1"/>
  <c r="AH76" i="5"/>
  <c r="BI143" i="5"/>
  <c r="BJ143" i="5" s="1"/>
  <c r="AH78" i="5"/>
  <c r="AA13" i="4"/>
  <c r="AQ13" i="4" s="1"/>
  <c r="BI353" i="5"/>
  <c r="BJ353" i="5" s="1"/>
  <c r="AH159" i="5"/>
  <c r="AH207" i="5"/>
  <c r="AH103" i="5"/>
  <c r="AH389" i="5"/>
  <c r="AG27" i="5"/>
  <c r="BI375" i="5"/>
  <c r="BK375" i="5" s="1"/>
  <c r="AH368" i="5"/>
  <c r="BI287" i="5"/>
  <c r="BJ287" i="5" s="1"/>
  <c r="BI102" i="5"/>
  <c r="BK102" i="5" s="1"/>
  <c r="AH27" i="5"/>
  <c r="BI509" i="5"/>
  <c r="BK509" i="5" s="1"/>
  <c r="AH463" i="5"/>
  <c r="AH230" i="5"/>
  <c r="BI333" i="5"/>
  <c r="BK333" i="5" s="1"/>
  <c r="BI70" i="5"/>
  <c r="BK70" i="5" s="1"/>
  <c r="BI391" i="5"/>
  <c r="AG366" i="5"/>
  <c r="AH520" i="5"/>
  <c r="BI169" i="5"/>
  <c r="BJ169" i="5" s="1"/>
  <c r="BI135" i="5"/>
  <c r="BK135" i="5" s="1"/>
  <c r="AG100" i="5"/>
  <c r="AG509" i="5"/>
  <c r="AG333" i="5"/>
  <c r="AH70" i="5"/>
  <c r="AG391" i="5"/>
  <c r="AH246" i="5"/>
  <c r="AG169" i="5"/>
  <c r="AG135" i="5"/>
  <c r="AH527" i="5"/>
  <c r="BI322" i="5"/>
  <c r="BK322" i="5" s="1"/>
  <c r="BI171" i="5"/>
  <c r="BK171" i="5" s="1"/>
  <c r="AG246" i="5"/>
  <c r="AH45" i="5"/>
  <c r="BI166" i="5"/>
  <c r="BK166" i="5" s="1"/>
  <c r="BI303" i="5"/>
  <c r="BJ303" i="5" s="1"/>
  <c r="BI531" i="5"/>
  <c r="BJ531" i="5" s="1"/>
  <c r="AH322" i="5"/>
  <c r="AG171" i="5"/>
  <c r="BI159" i="5"/>
  <c r="BK159" i="5" s="1"/>
  <c r="AG45" i="5"/>
  <c r="BI389" i="5"/>
  <c r="BK389" i="5" s="1"/>
  <c r="AG166" i="5"/>
  <c r="AG303" i="5"/>
  <c r="AH531" i="5"/>
  <c r="AJ32" i="4"/>
  <c r="AO42" i="4"/>
  <c r="AU42" i="4" s="1"/>
  <c r="AW42" i="4" s="1"/>
  <c r="BI358" i="5"/>
  <c r="BJ358" i="5" s="1"/>
  <c r="AG368" i="5"/>
  <c r="AK32" i="4"/>
  <c r="AL32" i="4" s="1"/>
  <c r="AO32" i="4" s="1"/>
  <c r="AG46" i="5"/>
  <c r="AG515" i="5"/>
  <c r="AH358" i="5"/>
  <c r="AG120" i="5"/>
  <c r="AG205" i="5"/>
  <c r="AG502" i="5"/>
  <c r="AG240" i="5"/>
  <c r="AH120" i="5"/>
  <c r="AG504" i="5"/>
  <c r="AH309" i="5"/>
  <c r="AJ39" i="4"/>
  <c r="AA39" i="4"/>
  <c r="AH528" i="5"/>
  <c r="BI13" i="5"/>
  <c r="BK13" i="5" s="1"/>
  <c r="AA36" i="4"/>
  <c r="AG417" i="5"/>
  <c r="AQ32" i="4"/>
  <c r="AH175" i="5"/>
  <c r="AH192" i="5"/>
  <c r="AH119" i="5"/>
  <c r="AH538" i="5"/>
  <c r="AG192" i="5"/>
  <c r="BI530" i="5"/>
  <c r="BJ530" i="5" s="1"/>
  <c r="BI239" i="5"/>
  <c r="BJ239" i="5" s="1"/>
  <c r="AH473" i="5"/>
  <c r="AH555" i="5"/>
  <c r="AJ13" i="4"/>
  <c r="AH553" i="5"/>
  <c r="AH353" i="5"/>
  <c r="BI157" i="5"/>
  <c r="BK157" i="5" s="1"/>
  <c r="BI173" i="5"/>
  <c r="BK173" i="5" s="1"/>
  <c r="BI23" i="5"/>
  <c r="BK23" i="5" s="1"/>
  <c r="AH239" i="5"/>
  <c r="BI560" i="5"/>
  <c r="BK560" i="5" s="1"/>
  <c r="AH65" i="5"/>
  <c r="BI388" i="5"/>
  <c r="BK388" i="5" s="1"/>
  <c r="BI526" i="5"/>
  <c r="BJ526" i="5" s="1"/>
  <c r="BI62" i="5"/>
  <c r="BJ62" i="5" s="1"/>
  <c r="AJ35" i="4"/>
  <c r="AA35" i="4"/>
  <c r="AH466" i="5"/>
  <c r="AP32" i="4"/>
  <c r="BI65" i="5"/>
  <c r="BJ65" i="5" s="1"/>
  <c r="BI119" i="5"/>
  <c r="BK119" i="5" s="1"/>
  <c r="AG526" i="5"/>
  <c r="AG62" i="5"/>
  <c r="AO98" i="4"/>
  <c r="AG523" i="5"/>
  <c r="AH200" i="5"/>
  <c r="BI243" i="5"/>
  <c r="BK243" i="5" s="1"/>
  <c r="AH240" i="5"/>
  <c r="BI28" i="5"/>
  <c r="BJ28" i="5" s="1"/>
  <c r="BI60" i="5"/>
  <c r="BK60" i="5" s="1"/>
  <c r="AH13" i="5"/>
  <c r="BI271" i="5"/>
  <c r="BJ271" i="5" s="1"/>
  <c r="AH243" i="5"/>
  <c r="BI33" i="5"/>
  <c r="BK33" i="5" s="1"/>
  <c r="AG60" i="5"/>
  <c r="AG271" i="5"/>
  <c r="AG33" i="5"/>
  <c r="AG533" i="5"/>
  <c r="BI96" i="5"/>
  <c r="BJ96" i="5" s="1"/>
  <c r="BI355" i="5"/>
  <c r="BK355" i="5" s="1"/>
  <c r="AH133" i="5"/>
  <c r="AH96" i="5"/>
  <c r="BI474" i="5"/>
  <c r="BJ474" i="5" s="1"/>
  <c r="BI272" i="5"/>
  <c r="BK272" i="5" s="1"/>
  <c r="AH355" i="5"/>
  <c r="AH474" i="5"/>
  <c r="AG272" i="5"/>
  <c r="AG210" i="5"/>
  <c r="BI528" i="5"/>
  <c r="BJ528" i="5" s="1"/>
  <c r="AH172" i="5"/>
  <c r="AH134" i="5"/>
  <c r="AH396" i="5"/>
  <c r="AH380" i="5"/>
  <c r="AG411" i="5"/>
  <c r="AG396" i="5"/>
  <c r="AH411" i="5"/>
  <c r="BI442" i="5"/>
  <c r="BK442" i="5" s="1"/>
  <c r="BI405" i="5"/>
  <c r="BJ405" i="5" s="1"/>
  <c r="BI301" i="5"/>
  <c r="BJ301" i="5" s="1"/>
  <c r="AH442" i="5"/>
  <c r="BI417" i="5"/>
  <c r="BJ417" i="5" s="1"/>
  <c r="BI473" i="5"/>
  <c r="BJ473" i="5" s="1"/>
  <c r="AH405" i="5"/>
  <c r="BI175" i="5"/>
  <c r="BK175" i="5" s="1"/>
  <c r="BI134" i="5"/>
  <c r="BJ134" i="5" s="1"/>
  <c r="BI380" i="5"/>
  <c r="BJ380" i="5" s="1"/>
  <c r="AG388" i="5"/>
  <c r="AG560" i="5"/>
  <c r="AG301" i="5"/>
  <c r="AG383" i="5"/>
  <c r="BI133" i="5"/>
  <c r="BJ133" i="5" s="1"/>
  <c r="AH210" i="5"/>
  <c r="AG399" i="5"/>
  <c r="BI533" i="5"/>
  <c r="BJ533" i="5" s="1"/>
  <c r="BI264" i="5"/>
  <c r="BJ264" i="5" s="1"/>
  <c r="AH28" i="5"/>
  <c r="BI415" i="5"/>
  <c r="BJ415" i="5" s="1"/>
  <c r="AH264" i="5"/>
  <c r="AG223" i="5"/>
  <c r="AG415" i="5"/>
  <c r="BI426" i="5"/>
  <c r="BJ426" i="5" s="1"/>
  <c r="BI223" i="5"/>
  <c r="BJ223" i="5" s="1"/>
  <c r="BI457" i="5"/>
  <c r="BK457" i="5" s="1"/>
  <c r="AH426" i="5"/>
  <c r="BI559" i="5"/>
  <c r="BJ559" i="5" s="1"/>
  <c r="BI10" i="5"/>
  <c r="BK10" i="5" s="1"/>
  <c r="BI141" i="5"/>
  <c r="BJ141" i="5" s="1"/>
  <c r="AG183" i="5"/>
  <c r="AG457" i="5"/>
  <c r="AG559" i="5"/>
  <c r="AH10" i="5"/>
  <c r="AG141" i="5"/>
  <c r="BI399" i="5"/>
  <c r="BK399" i="5" s="1"/>
  <c r="BI183" i="5"/>
  <c r="BK183" i="5" s="1"/>
  <c r="BI523" i="5"/>
  <c r="BJ523" i="5" s="1"/>
  <c r="BI527" i="5"/>
  <c r="BK527" i="5" s="1"/>
  <c r="AG392" i="5"/>
  <c r="BI124" i="5"/>
  <c r="BK124" i="5" s="1"/>
  <c r="AG124" i="5"/>
  <c r="AG153" i="5"/>
  <c r="AH146" i="5"/>
  <c r="BI225" i="5"/>
  <c r="BK225" i="5" s="1"/>
  <c r="AH313" i="5"/>
  <c r="AG12" i="5"/>
  <c r="BI77" i="5"/>
  <c r="BJ77" i="5" s="1"/>
  <c r="AG313" i="5"/>
  <c r="BI461" i="5"/>
  <c r="BJ461" i="5" s="1"/>
  <c r="BI480" i="5"/>
  <c r="BJ480" i="5" s="1"/>
  <c r="BI255" i="5"/>
  <c r="BJ255" i="5" s="1"/>
  <c r="AG461" i="5"/>
  <c r="AG480" i="5"/>
  <c r="AH255" i="5"/>
  <c r="BI146" i="5"/>
  <c r="BJ146" i="5" s="1"/>
  <c r="BI12" i="5"/>
  <c r="BK12" i="5" s="1"/>
  <c r="AG524" i="5"/>
  <c r="BI151" i="5"/>
  <c r="BJ151" i="5" s="1"/>
  <c r="BI430" i="5"/>
  <c r="BK430" i="5" s="1"/>
  <c r="AG151" i="5"/>
  <c r="BI283" i="5"/>
  <c r="BJ283" i="5" s="1"/>
  <c r="AG430" i="5"/>
  <c r="BI315" i="5"/>
  <c r="BJ315" i="5" s="1"/>
  <c r="AH315" i="5"/>
  <c r="BI494" i="5"/>
  <c r="BK494" i="5" s="1"/>
  <c r="BI234" i="5"/>
  <c r="BK234" i="5" s="1"/>
  <c r="AH92" i="5"/>
  <c r="AG29" i="5"/>
  <c r="AH283" i="5"/>
  <c r="AG118" i="5"/>
  <c r="AH460" i="5"/>
  <c r="AG234" i="5"/>
  <c r="BI92" i="5"/>
  <c r="BJ92" i="5" s="1"/>
  <c r="BI247" i="5"/>
  <c r="BK247" i="5" s="1"/>
  <c r="BI266" i="5"/>
  <c r="BK266" i="5" s="1"/>
  <c r="AG247" i="5"/>
  <c r="BI294" i="5"/>
  <c r="BK294" i="5" s="1"/>
  <c r="AH266" i="5"/>
  <c r="BI419" i="5"/>
  <c r="BK419" i="5" s="1"/>
  <c r="AH195" i="5"/>
  <c r="AH419" i="5"/>
  <c r="AH294" i="5"/>
  <c r="AH505" i="5"/>
  <c r="BI510" i="5"/>
  <c r="BJ510" i="5" s="1"/>
  <c r="BI153" i="5"/>
  <c r="BK153" i="5" s="1"/>
  <c r="AJ9" i="4"/>
  <c r="AK9" i="4"/>
  <c r="AL9" i="4" s="1"/>
  <c r="AO9" i="4" s="1"/>
  <c r="AA9" i="4"/>
  <c r="AG505" i="5"/>
  <c r="AO30" i="4"/>
  <c r="AJ15" i="4"/>
  <c r="AK15" i="4"/>
  <c r="AL15" i="4" s="1"/>
  <c r="AO15" i="4" s="1"/>
  <c r="AA15" i="4"/>
  <c r="AQ30" i="4"/>
  <c r="BI195" i="5"/>
  <c r="BK195" i="5" s="1"/>
  <c r="AG309" i="5"/>
  <c r="AG304" i="5"/>
  <c r="BI392" i="5"/>
  <c r="BK392" i="5" s="1"/>
  <c r="AG325" i="5"/>
  <c r="AK16" i="4"/>
  <c r="AL16" i="4" s="1"/>
  <c r="AO16" i="4" s="1"/>
  <c r="AH304" i="5"/>
  <c r="AK27" i="4"/>
  <c r="AL27" i="4" s="1"/>
  <c r="AO27" i="4" s="1"/>
  <c r="BI370" i="5"/>
  <c r="BJ370" i="5" s="1"/>
  <c r="AG370" i="5"/>
  <c r="BI397" i="5"/>
  <c r="BK397" i="5" s="1"/>
  <c r="BI435" i="5"/>
  <c r="BJ435" i="5" s="1"/>
  <c r="BI74" i="5"/>
  <c r="BJ74" i="5" s="1"/>
  <c r="BI189" i="5"/>
  <c r="BK189" i="5" s="1"/>
  <c r="AH397" i="5"/>
  <c r="AH435" i="5"/>
  <c r="AJ29" i="4"/>
  <c r="AK29" i="4"/>
  <c r="AL29" i="4" s="1"/>
  <c r="AO29" i="4" s="1"/>
  <c r="AP30" i="4"/>
  <c r="AG74" i="5"/>
  <c r="AH189" i="5"/>
  <c r="BI325" i="5"/>
  <c r="BJ325" i="5" s="1"/>
  <c r="AA29" i="4"/>
  <c r="AJ23" i="4"/>
  <c r="AA23" i="4"/>
  <c r="AA27" i="4"/>
  <c r="AO23" i="4"/>
  <c r="BN552" i="5"/>
  <c r="BM552" i="5"/>
  <c r="BM324" i="5"/>
  <c r="BN324" i="5"/>
  <c r="BM475" i="5"/>
  <c r="BN475" i="5"/>
  <c r="BN535" i="5"/>
  <c r="BM535" i="5"/>
  <c r="BN139" i="5"/>
  <c r="BM139" i="5"/>
  <c r="BN44" i="5"/>
  <c r="BM44" i="5"/>
  <c r="BM528" i="5"/>
  <c r="BN528" i="5"/>
  <c r="BM247" i="5"/>
  <c r="BN247" i="5"/>
  <c r="BN291" i="5"/>
  <c r="BM291" i="5"/>
  <c r="BN546" i="5"/>
  <c r="BM546" i="5"/>
  <c r="BN59" i="5"/>
  <c r="BM59" i="5"/>
  <c r="BN68" i="5"/>
  <c r="BM68" i="5"/>
  <c r="BN28" i="5"/>
  <c r="BM28" i="5"/>
  <c r="BM257" i="5"/>
  <c r="BN257" i="5"/>
  <c r="BK538" i="5"/>
  <c r="BJ538" i="5"/>
  <c r="BN515" i="5"/>
  <c r="BM515" i="5"/>
  <c r="BN94" i="5"/>
  <c r="BM94" i="5"/>
  <c r="BN502" i="5"/>
  <c r="BM502" i="5"/>
  <c r="BM367" i="5"/>
  <c r="BN367" i="5"/>
  <c r="BM250" i="5"/>
  <c r="BN250" i="5"/>
  <c r="BM341" i="5"/>
  <c r="BN341" i="5"/>
  <c r="BN380" i="5"/>
  <c r="BM380" i="5"/>
  <c r="BM331" i="5"/>
  <c r="BN331" i="5"/>
  <c r="BK396" i="5"/>
  <c r="BJ396" i="5"/>
  <c r="BJ434" i="5"/>
  <c r="BK434" i="5"/>
  <c r="BM201" i="5"/>
  <c r="BN201" i="5"/>
  <c r="BN374" i="5"/>
  <c r="BM374" i="5"/>
  <c r="BN113" i="5"/>
  <c r="BM113" i="5"/>
  <c r="BN163" i="5"/>
  <c r="BM163" i="5"/>
  <c r="BN425" i="5"/>
  <c r="BM425" i="5"/>
  <c r="BN173" i="5"/>
  <c r="BM173" i="5"/>
  <c r="BM448" i="5"/>
  <c r="BN448" i="5"/>
  <c r="BM514" i="5"/>
  <c r="BN514" i="5"/>
  <c r="BN298" i="5"/>
  <c r="BM298" i="5"/>
  <c r="BM189" i="5"/>
  <c r="BN189" i="5"/>
  <c r="BN193" i="5"/>
  <c r="BM193" i="5"/>
  <c r="AO110" i="4"/>
  <c r="BM406" i="5"/>
  <c r="BN406" i="5"/>
  <c r="BM426" i="5"/>
  <c r="BN426" i="5"/>
  <c r="BM378" i="5"/>
  <c r="BN378" i="5"/>
  <c r="BN151" i="5"/>
  <c r="BM151" i="5"/>
  <c r="BM353" i="5"/>
  <c r="BN353" i="5"/>
  <c r="BN317" i="5"/>
  <c r="BM317" i="5"/>
  <c r="BK188" i="5"/>
  <c r="BJ188" i="5"/>
  <c r="AY11" i="5"/>
  <c r="AX11" i="5"/>
  <c r="BF11" i="5"/>
  <c r="AN11" i="5"/>
  <c r="AO11" i="5"/>
  <c r="AS11" i="5"/>
  <c r="BN394" i="5"/>
  <c r="BM394" i="5"/>
  <c r="BM421" i="5"/>
  <c r="BN421" i="5"/>
  <c r="BN222" i="5"/>
  <c r="BM222" i="5"/>
  <c r="BM178" i="5"/>
  <c r="BN178" i="5"/>
  <c r="BM501" i="5"/>
  <c r="BN501" i="5"/>
  <c r="BM140" i="5"/>
  <c r="BN140" i="5"/>
  <c r="BM67" i="5"/>
  <c r="BN67" i="5"/>
  <c r="BJ182" i="5"/>
  <c r="BK182" i="5"/>
  <c r="BJ398" i="5"/>
  <c r="BK398" i="5"/>
  <c r="BM395" i="5"/>
  <c r="BN395" i="5"/>
  <c r="BM453" i="5"/>
  <c r="BN453" i="5"/>
  <c r="BM137" i="5"/>
  <c r="BN137" i="5"/>
  <c r="BM206" i="5"/>
  <c r="BN206" i="5"/>
  <c r="BM242" i="5"/>
  <c r="BN242" i="5"/>
  <c r="BN13" i="5"/>
  <c r="BM13" i="5"/>
  <c r="BN241" i="5"/>
  <c r="BM241" i="5"/>
  <c r="BM30" i="5"/>
  <c r="BN30" i="5"/>
  <c r="AA22" i="4"/>
  <c r="BJ46" i="5"/>
  <c r="BK46" i="5"/>
  <c r="BK27" i="5"/>
  <c r="BJ27" i="5"/>
  <c r="BN556" i="5"/>
  <c r="BM556" i="5"/>
  <c r="BN471" i="5"/>
  <c r="BM471" i="5"/>
  <c r="BM319" i="5"/>
  <c r="BN319" i="5"/>
  <c r="BN69" i="5"/>
  <c r="BM69" i="5"/>
  <c r="BM197" i="5"/>
  <c r="BN197" i="5"/>
  <c r="BN81" i="5"/>
  <c r="BM81" i="5"/>
  <c r="BM292" i="5"/>
  <c r="BN292" i="5"/>
  <c r="BN474" i="5"/>
  <c r="BM474" i="5"/>
  <c r="BJ490" i="5"/>
  <c r="BK490" i="5"/>
  <c r="BN252" i="5"/>
  <c r="BM252" i="5"/>
  <c r="BM157" i="5"/>
  <c r="BN157" i="5"/>
  <c r="BN101" i="5"/>
  <c r="BM101" i="5"/>
  <c r="BN198" i="5"/>
  <c r="BM198" i="5"/>
  <c r="BN144" i="5"/>
  <c r="BM144" i="5"/>
  <c r="BN243" i="5"/>
  <c r="BM243" i="5"/>
  <c r="BM216" i="5"/>
  <c r="BN216" i="5"/>
  <c r="BM524" i="5"/>
  <c r="BN524" i="5"/>
  <c r="BN417" i="5"/>
  <c r="BM417" i="5"/>
  <c r="BN304" i="5"/>
  <c r="BM304" i="5"/>
  <c r="BN116" i="5"/>
  <c r="BM116" i="5"/>
  <c r="BK472" i="5"/>
  <c r="BJ472" i="5"/>
  <c r="BN390" i="5"/>
  <c r="BM390" i="5"/>
  <c r="BN174" i="5"/>
  <c r="BM174" i="5"/>
  <c r="BN50" i="5"/>
  <c r="BM50" i="5"/>
  <c r="BN118" i="5"/>
  <c r="BM118" i="5"/>
  <c r="BM125" i="5"/>
  <c r="BN125" i="5"/>
  <c r="BN219" i="5"/>
  <c r="BM219" i="5"/>
  <c r="BN224" i="5"/>
  <c r="BM224" i="5"/>
  <c r="BN418" i="5"/>
  <c r="BM418" i="5"/>
  <c r="BN61" i="5"/>
  <c r="BM61" i="5"/>
  <c r="BM246" i="5"/>
  <c r="BN246" i="5"/>
  <c r="BM167" i="5"/>
  <c r="BN167" i="5"/>
  <c r="BN97" i="5"/>
  <c r="BM97" i="5"/>
  <c r="BM413" i="5"/>
  <c r="BN413" i="5"/>
  <c r="BN313" i="5"/>
  <c r="BM313" i="5"/>
  <c r="BM541" i="5"/>
  <c r="BN541" i="5"/>
  <c r="BN190" i="5"/>
  <c r="BM190" i="5"/>
  <c r="BJ246" i="5"/>
  <c r="BK246" i="5"/>
  <c r="BM104" i="5"/>
  <c r="BN104" i="5"/>
  <c r="BN402" i="5"/>
  <c r="BM402" i="5"/>
  <c r="BM499" i="5"/>
  <c r="BN499" i="5"/>
  <c r="BM52" i="5"/>
  <c r="BN52" i="5"/>
  <c r="BN84" i="5"/>
  <c r="BM84" i="5"/>
  <c r="BM540" i="5"/>
  <c r="BN540" i="5"/>
  <c r="BM338" i="5"/>
  <c r="BN338" i="5"/>
  <c r="BM279" i="5"/>
  <c r="BN279" i="5"/>
  <c r="BN95" i="5"/>
  <c r="BM95" i="5"/>
  <c r="BN266" i="5"/>
  <c r="BM266" i="5"/>
  <c r="BN187" i="5"/>
  <c r="BM187" i="5"/>
  <c r="BM536" i="5"/>
  <c r="BN536" i="5"/>
  <c r="BM128" i="5"/>
  <c r="BN128" i="5"/>
  <c r="BM465" i="5"/>
  <c r="BN465" i="5"/>
  <c r="BN158" i="5"/>
  <c r="BM158" i="5"/>
  <c r="BN100" i="5"/>
  <c r="BM100" i="5"/>
  <c r="BK81" i="5"/>
  <c r="BJ81" i="5"/>
  <c r="BJ304" i="5"/>
  <c r="BK304" i="5"/>
  <c r="BJ31" i="5"/>
  <c r="BK31" i="5"/>
  <c r="AA11" i="5"/>
  <c r="AB11" i="5"/>
  <c r="S11" i="5"/>
  <c r="R11" i="5"/>
  <c r="BN186" i="5"/>
  <c r="BM186" i="5"/>
  <c r="BN120" i="5"/>
  <c r="BM120" i="5"/>
  <c r="BN440" i="5"/>
  <c r="BM440" i="5"/>
  <c r="BM33" i="5"/>
  <c r="BN33" i="5"/>
  <c r="BM127" i="5"/>
  <c r="BN127" i="5"/>
  <c r="BM410" i="5"/>
  <c r="BN410" i="5"/>
  <c r="AK18" i="4"/>
  <c r="AL18" i="4" s="1"/>
  <c r="AO18" i="4" s="1"/>
  <c r="BN318" i="5"/>
  <c r="BM318" i="5"/>
  <c r="BM484" i="5"/>
  <c r="BN484" i="5"/>
  <c r="BN245" i="5"/>
  <c r="BM245" i="5"/>
  <c r="BN147" i="5"/>
  <c r="BM147" i="5"/>
  <c r="BM306" i="5"/>
  <c r="BN306" i="5"/>
  <c r="BN397" i="5"/>
  <c r="BM397" i="5"/>
  <c r="BN148" i="5"/>
  <c r="BM148" i="5"/>
  <c r="BM35" i="5"/>
  <c r="BN35" i="5"/>
  <c r="BN355" i="5"/>
  <c r="BM355" i="5"/>
  <c r="BN495" i="5"/>
  <c r="BM495" i="5"/>
  <c r="BN375" i="5"/>
  <c r="BM375" i="5"/>
  <c r="BN321" i="5"/>
  <c r="BM321" i="5"/>
  <c r="BM119" i="5"/>
  <c r="BN119" i="5"/>
  <c r="BM560" i="5"/>
  <c r="BN560" i="5"/>
  <c r="BN124" i="5"/>
  <c r="BM124" i="5"/>
  <c r="BN490" i="5"/>
  <c r="BM490" i="5"/>
  <c r="BM166" i="5"/>
  <c r="BN166" i="5"/>
  <c r="BK348" i="5"/>
  <c r="BJ348" i="5"/>
  <c r="BK58" i="5"/>
  <c r="BJ58" i="5"/>
  <c r="BJ257" i="5"/>
  <c r="BK257" i="5"/>
  <c r="BM521" i="5"/>
  <c r="BN521" i="5"/>
  <c r="BN123" i="5"/>
  <c r="BM123" i="5"/>
  <c r="BM372" i="5"/>
  <c r="BN372" i="5"/>
  <c r="BM182" i="5"/>
  <c r="BN182" i="5"/>
  <c r="BN240" i="5"/>
  <c r="BM240" i="5"/>
  <c r="BM344" i="5"/>
  <c r="BN344" i="5"/>
  <c r="BM301" i="5"/>
  <c r="BN301" i="5"/>
  <c r="BN192" i="5"/>
  <c r="BM192" i="5"/>
  <c r="BN270" i="5"/>
  <c r="BM270" i="5"/>
  <c r="BJ402" i="5"/>
  <c r="BK402" i="5"/>
  <c r="BM526" i="5"/>
  <c r="BN526" i="5"/>
  <c r="BM294" i="5"/>
  <c r="BN294" i="5"/>
  <c r="BN363" i="5"/>
  <c r="BM363" i="5"/>
  <c r="BN258" i="5"/>
  <c r="BM258" i="5"/>
  <c r="BN398" i="5"/>
  <c r="BM398" i="5"/>
  <c r="BM58" i="5"/>
  <c r="BN58" i="5"/>
  <c r="BN360" i="5"/>
  <c r="BM360" i="5"/>
  <c r="BN489" i="5"/>
  <c r="BM489" i="5"/>
  <c r="BJ140" i="5"/>
  <c r="BK140" i="5"/>
  <c r="BM269" i="5"/>
  <c r="BN269" i="5"/>
  <c r="BN422" i="5"/>
  <c r="BM422" i="5"/>
  <c r="BM261" i="5"/>
  <c r="BN261" i="5"/>
  <c r="BM400" i="5"/>
  <c r="BN400" i="5"/>
  <c r="BN280" i="5"/>
  <c r="BM280" i="5"/>
  <c r="BN343" i="5"/>
  <c r="BM343" i="5"/>
  <c r="BN497" i="5"/>
  <c r="BM497" i="5"/>
  <c r="BM208" i="5"/>
  <c r="BN208" i="5"/>
  <c r="BK449" i="5"/>
  <c r="BJ449" i="5"/>
  <c r="BM336" i="5"/>
  <c r="BN336" i="5"/>
  <c r="BN26" i="5"/>
  <c r="BM26" i="5"/>
  <c r="BN328" i="5"/>
  <c r="BM328" i="5"/>
  <c r="BM351" i="5"/>
  <c r="BN351" i="5"/>
  <c r="BM538" i="5"/>
  <c r="BN538" i="5"/>
  <c r="BN391" i="5"/>
  <c r="BM391" i="5"/>
  <c r="BN235" i="5"/>
  <c r="BM235" i="5"/>
  <c r="BN153" i="5"/>
  <c r="BM153" i="5"/>
  <c r="BM427" i="5"/>
  <c r="BN427" i="5"/>
  <c r="BJ20" i="5"/>
  <c r="BK20" i="5"/>
  <c r="BN70" i="5"/>
  <c r="BM70" i="5"/>
  <c r="BN354" i="5"/>
  <c r="BM354" i="5"/>
  <c r="BN90" i="5"/>
  <c r="BM90" i="5"/>
  <c r="BM316" i="5"/>
  <c r="BN316" i="5"/>
  <c r="BN469" i="5"/>
  <c r="BM469" i="5"/>
  <c r="BM138" i="5"/>
  <c r="BN138" i="5"/>
  <c r="BN98" i="5"/>
  <c r="BM98" i="5"/>
  <c r="BM446" i="5"/>
  <c r="BN446" i="5"/>
  <c r="BN277" i="5"/>
  <c r="BM277" i="5"/>
  <c r="BK439" i="5"/>
  <c r="BJ439" i="5"/>
  <c r="BN544" i="5"/>
  <c r="BM544" i="5"/>
  <c r="BB11" i="5"/>
  <c r="BA11" i="5"/>
  <c r="BN369" i="5"/>
  <c r="BM369" i="5"/>
  <c r="BN468" i="5"/>
  <c r="BM468" i="5"/>
  <c r="BN63" i="5"/>
  <c r="BM63" i="5"/>
  <c r="BM149" i="5"/>
  <c r="BN149" i="5"/>
  <c r="BN494" i="5"/>
  <c r="BM494" i="5"/>
  <c r="BM211" i="5"/>
  <c r="BN211" i="5"/>
  <c r="BM86" i="5"/>
  <c r="BN86" i="5"/>
  <c r="BN87" i="5"/>
  <c r="BM87" i="5"/>
  <c r="BN164" i="5"/>
  <c r="BM164" i="5"/>
  <c r="BK210" i="5"/>
  <c r="BJ210" i="5"/>
  <c r="BM491" i="5"/>
  <c r="BN491" i="5"/>
  <c r="BN455" i="5"/>
  <c r="BM455" i="5"/>
  <c r="BM136" i="5"/>
  <c r="BN136" i="5"/>
  <c r="BN210" i="5"/>
  <c r="BM210" i="5"/>
  <c r="BM74" i="5"/>
  <c r="BN74" i="5"/>
  <c r="BN172" i="5"/>
  <c r="BM172" i="5"/>
  <c r="BN185" i="5"/>
  <c r="BM185" i="5"/>
  <c r="BM299" i="5"/>
  <c r="BN299" i="5"/>
  <c r="BM435" i="5"/>
  <c r="BN435" i="5"/>
  <c r="BK448" i="5"/>
  <c r="BJ448" i="5"/>
  <c r="BK544" i="5"/>
  <c r="BJ544" i="5"/>
  <c r="BM450" i="5"/>
  <c r="BN450" i="5"/>
  <c r="BN496" i="5"/>
  <c r="BM496" i="5"/>
  <c r="BN362" i="5"/>
  <c r="BM362" i="5"/>
  <c r="BM107" i="5"/>
  <c r="BN107" i="5"/>
  <c r="BN114" i="5"/>
  <c r="BM114" i="5"/>
  <c r="BM479" i="5"/>
  <c r="BN479" i="5"/>
  <c r="BN221" i="5"/>
  <c r="BM221" i="5"/>
  <c r="BN22" i="5"/>
  <c r="BM22" i="5"/>
  <c r="BM212" i="5"/>
  <c r="BN212" i="5"/>
  <c r="BN555" i="5"/>
  <c r="BM555" i="5"/>
  <c r="BM48" i="5"/>
  <c r="BN48" i="5"/>
  <c r="BM65" i="5"/>
  <c r="BN65" i="5"/>
  <c r="BN302" i="5"/>
  <c r="BM302" i="5"/>
  <c r="BM214" i="5"/>
  <c r="BN214" i="5"/>
  <c r="BM553" i="5"/>
  <c r="BN553" i="5"/>
  <c r="BN181" i="5"/>
  <c r="BM181" i="5"/>
  <c r="BN239" i="5"/>
  <c r="BM239" i="5"/>
  <c r="BK172" i="5"/>
  <c r="BJ172" i="5"/>
  <c r="BK477" i="5"/>
  <c r="BJ477" i="5"/>
  <c r="BM276" i="5"/>
  <c r="BN276" i="5"/>
  <c r="BM142" i="5"/>
  <c r="BN142" i="5"/>
  <c r="BN370" i="5"/>
  <c r="BM370" i="5"/>
  <c r="BM488" i="5"/>
  <c r="BN488" i="5"/>
  <c r="BM169" i="5"/>
  <c r="BN169" i="5"/>
  <c r="BM179" i="5"/>
  <c r="BN179" i="5"/>
  <c r="BM461" i="5"/>
  <c r="BN461" i="5"/>
  <c r="BN111" i="5"/>
  <c r="BM111" i="5"/>
  <c r="BJ24" i="5"/>
  <c r="BK24" i="5"/>
  <c r="BK122" i="5"/>
  <c r="BJ122" i="5"/>
  <c r="BM145" i="5"/>
  <c r="BN145" i="5"/>
  <c r="BN441" i="5"/>
  <c r="BM441" i="5"/>
  <c r="BM41" i="5"/>
  <c r="BN41" i="5"/>
  <c r="BN542" i="5"/>
  <c r="BM542" i="5"/>
  <c r="BN480" i="5"/>
  <c r="BM480" i="5"/>
  <c r="BN534" i="5"/>
  <c r="BM534" i="5"/>
  <c r="BN203" i="5"/>
  <c r="BM203" i="5"/>
  <c r="BM381" i="5"/>
  <c r="BN381" i="5"/>
  <c r="BN29" i="5"/>
  <c r="BM29" i="5"/>
  <c r="BK240" i="5"/>
  <c r="BJ240" i="5"/>
  <c r="BJ35" i="5"/>
  <c r="BK35" i="5"/>
  <c r="BN337" i="5"/>
  <c r="BM337" i="5"/>
  <c r="BM66" i="5"/>
  <c r="BN66" i="5"/>
  <c r="BM274" i="5"/>
  <c r="BN274" i="5"/>
  <c r="BM457" i="5"/>
  <c r="BN457" i="5"/>
  <c r="BM545" i="5"/>
  <c r="BN545" i="5"/>
  <c r="BN64" i="5"/>
  <c r="BM64" i="5"/>
  <c r="BN207" i="5"/>
  <c r="BM207" i="5"/>
  <c r="BM322" i="5"/>
  <c r="BN322" i="5"/>
  <c r="BN265" i="5"/>
  <c r="BM265" i="5"/>
  <c r="BN445" i="5"/>
  <c r="BM445" i="5"/>
  <c r="BJ551" i="5"/>
  <c r="BK551" i="5"/>
  <c r="BK103" i="5"/>
  <c r="BJ103" i="5"/>
  <c r="BK467" i="5"/>
  <c r="BJ467" i="5"/>
  <c r="BN141" i="5"/>
  <c r="BM141" i="5"/>
  <c r="BN262" i="5"/>
  <c r="BM262" i="5"/>
  <c r="BN492" i="5"/>
  <c r="BM492" i="5"/>
  <c r="BN487" i="5"/>
  <c r="BM487" i="5"/>
  <c r="BM342" i="5"/>
  <c r="BN342" i="5"/>
  <c r="BN323" i="5"/>
  <c r="BM323" i="5"/>
  <c r="BM229" i="5"/>
  <c r="BN229" i="5"/>
  <c r="BN253" i="5"/>
  <c r="BM253" i="5"/>
  <c r="BK460" i="5"/>
  <c r="BJ460" i="5"/>
  <c r="BJ423" i="5"/>
  <c r="BK423" i="5"/>
  <c r="BJ383" i="5"/>
  <c r="BK383" i="5"/>
  <c r="BJ116" i="5"/>
  <c r="BK116" i="5"/>
  <c r="AQ11" i="5"/>
  <c r="AR11" i="5"/>
  <c r="BN191" i="5"/>
  <c r="BM191" i="5"/>
  <c r="BN554" i="5"/>
  <c r="BM554" i="5"/>
  <c r="BM73" i="5"/>
  <c r="BN73" i="5"/>
  <c r="BN225" i="5"/>
  <c r="BM225" i="5"/>
  <c r="BN513" i="5"/>
  <c r="BM513" i="5"/>
  <c r="BN459" i="5"/>
  <c r="BM459" i="5"/>
  <c r="BN237" i="5"/>
  <c r="BM237" i="5"/>
  <c r="BN129" i="5"/>
  <c r="BM129" i="5"/>
  <c r="BM356" i="5"/>
  <c r="BN356" i="5"/>
  <c r="BN500" i="5"/>
  <c r="BM500" i="5"/>
  <c r="BN234" i="5"/>
  <c r="BM234" i="5"/>
  <c r="BM345" i="5"/>
  <c r="BN345" i="5"/>
  <c r="BM339" i="5"/>
  <c r="BN339" i="5"/>
  <c r="BN260" i="5"/>
  <c r="BM260" i="5"/>
  <c r="BM437" i="5"/>
  <c r="BN437" i="5"/>
  <c r="BM371" i="5"/>
  <c r="BN371" i="5"/>
  <c r="BN155" i="5"/>
  <c r="BM155" i="5"/>
  <c r="BM523" i="5"/>
  <c r="BN523" i="5"/>
  <c r="AK22" i="4"/>
  <c r="AL22" i="4" s="1"/>
  <c r="BN88" i="5"/>
  <c r="BM88" i="5"/>
  <c r="BN412" i="5"/>
  <c r="BM412" i="5"/>
  <c r="BM438" i="5"/>
  <c r="BN438" i="5"/>
  <c r="BM251" i="5"/>
  <c r="BN251" i="5"/>
  <c r="BN233" i="5"/>
  <c r="BM233" i="5"/>
  <c r="BM289" i="5"/>
  <c r="BN289" i="5"/>
  <c r="BN407" i="5"/>
  <c r="BM407" i="5"/>
  <c r="BN49" i="5"/>
  <c r="BM49" i="5"/>
  <c r="BM346" i="5"/>
  <c r="BN346" i="5"/>
  <c r="BJ487" i="5"/>
  <c r="BK487" i="5"/>
  <c r="BJ505" i="5"/>
  <c r="BK505" i="5"/>
  <c r="BK34" i="5"/>
  <c r="BJ34" i="5"/>
  <c r="BM512" i="5"/>
  <c r="BN512" i="5"/>
  <c r="BM288" i="5"/>
  <c r="BN288" i="5"/>
  <c r="BN310" i="5"/>
  <c r="BM310" i="5"/>
  <c r="BM361" i="5"/>
  <c r="BN361" i="5"/>
  <c r="BN332" i="5"/>
  <c r="BM332" i="5"/>
  <c r="BN236" i="5"/>
  <c r="BM236" i="5"/>
  <c r="BM171" i="5"/>
  <c r="BN171" i="5"/>
  <c r="BN204" i="5"/>
  <c r="BM204" i="5"/>
  <c r="BK145" i="5"/>
  <c r="BJ145" i="5"/>
  <c r="BN209" i="5"/>
  <c r="BM209" i="5"/>
  <c r="BM112" i="5"/>
  <c r="BN112" i="5"/>
  <c r="BM472" i="5"/>
  <c r="BN472" i="5"/>
  <c r="BN8" i="5"/>
  <c r="BM8" i="5"/>
  <c r="BN401" i="5"/>
  <c r="BM401" i="5"/>
  <c r="BM478" i="5"/>
  <c r="BN478" i="5"/>
  <c r="BM284" i="5"/>
  <c r="BN284" i="5"/>
  <c r="BN476" i="5"/>
  <c r="BM476" i="5"/>
  <c r="BM300" i="5"/>
  <c r="BN300" i="5"/>
  <c r="BM377" i="5"/>
  <c r="BN377" i="5"/>
  <c r="BN527" i="5"/>
  <c r="BM527" i="5"/>
  <c r="BN25" i="5"/>
  <c r="BM25" i="5"/>
  <c r="BN333" i="5"/>
  <c r="BM333" i="5"/>
  <c r="BM320" i="5"/>
  <c r="BN320" i="5"/>
  <c r="BM228" i="5"/>
  <c r="BN228" i="5"/>
  <c r="BM429" i="5"/>
  <c r="BN429" i="5"/>
  <c r="BM329" i="5"/>
  <c r="BN329" i="5"/>
  <c r="BM32" i="5"/>
  <c r="BN32" i="5"/>
  <c r="BM399" i="5"/>
  <c r="BN399" i="5"/>
  <c r="BM432" i="5"/>
  <c r="BN432" i="5"/>
  <c r="AK21" i="4"/>
  <c r="AL21" i="4" s="1"/>
  <c r="AO21" i="4" s="1"/>
  <c r="BN368" i="5"/>
  <c r="BM368" i="5"/>
  <c r="BM551" i="5"/>
  <c r="BN551" i="5"/>
  <c r="BM530" i="5"/>
  <c r="BN530" i="5"/>
  <c r="BN396" i="5"/>
  <c r="BM396" i="5"/>
  <c r="BM103" i="5"/>
  <c r="BN103" i="5"/>
  <c r="BM385" i="5"/>
  <c r="BN385" i="5"/>
  <c r="BJ309" i="5"/>
  <c r="BK309" i="5"/>
  <c r="BK114" i="5"/>
  <c r="BJ114" i="5"/>
  <c r="BK130" i="5"/>
  <c r="BJ130" i="5"/>
  <c r="BJ330" i="5"/>
  <c r="BK330" i="5"/>
  <c r="BM176" i="5"/>
  <c r="BN176" i="5"/>
  <c r="BM387" i="5"/>
  <c r="BN387" i="5"/>
  <c r="BN283" i="5"/>
  <c r="BM283" i="5"/>
  <c r="BM482" i="5"/>
  <c r="BN482" i="5"/>
  <c r="BM150" i="5"/>
  <c r="BN150" i="5"/>
  <c r="BN509" i="5"/>
  <c r="BM509" i="5"/>
  <c r="BM20" i="5"/>
  <c r="BN20" i="5"/>
  <c r="BM75" i="5"/>
  <c r="BN75" i="5"/>
  <c r="BN434" i="5"/>
  <c r="BM434" i="5"/>
  <c r="BM285" i="5"/>
  <c r="BN285" i="5"/>
  <c r="BN91" i="5"/>
  <c r="BM91" i="5"/>
  <c r="AL11" i="5"/>
  <c r="AK11" i="5"/>
  <c r="BN286" i="5"/>
  <c r="BM286" i="5"/>
  <c r="BM60" i="5"/>
  <c r="BN60" i="5"/>
  <c r="BN268" i="5"/>
  <c r="BM268" i="5"/>
  <c r="BN507" i="5"/>
  <c r="BM507" i="5"/>
  <c r="BM449" i="5"/>
  <c r="BN449" i="5"/>
  <c r="BN347" i="5"/>
  <c r="BM347" i="5"/>
  <c r="BM254" i="5"/>
  <c r="BN254" i="5"/>
  <c r="BK158" i="5"/>
  <c r="BJ158" i="5"/>
  <c r="BK432" i="5"/>
  <c r="BJ432" i="5"/>
  <c r="BM132" i="5"/>
  <c r="BN132" i="5"/>
  <c r="BM217" i="5"/>
  <c r="BN217" i="5"/>
  <c r="BN278" i="5"/>
  <c r="BM278" i="5"/>
  <c r="BM232" i="5"/>
  <c r="BN232" i="5"/>
  <c r="BM223" i="5"/>
  <c r="BN223" i="5"/>
  <c r="BN392" i="5"/>
  <c r="BM392" i="5"/>
  <c r="BM325" i="5"/>
  <c r="BN325" i="5"/>
  <c r="BN439" i="5"/>
  <c r="BM439" i="5"/>
  <c r="BJ409" i="5"/>
  <c r="BK409" i="5"/>
  <c r="BM43" i="5"/>
  <c r="BN43" i="5"/>
  <c r="BM56" i="5"/>
  <c r="BN56" i="5"/>
  <c r="BN159" i="5"/>
  <c r="BM159" i="5"/>
  <c r="BM458" i="5"/>
  <c r="BN458" i="5"/>
  <c r="BN21" i="5"/>
  <c r="BM21" i="5"/>
  <c r="BN403" i="5"/>
  <c r="BM403" i="5"/>
  <c r="BN162" i="5"/>
  <c r="BM162" i="5"/>
  <c r="BN483" i="5"/>
  <c r="BM483" i="5"/>
  <c r="BK191" i="5"/>
  <c r="BJ191" i="5"/>
  <c r="BJ515" i="5"/>
  <c r="BK515" i="5"/>
  <c r="BM79" i="5"/>
  <c r="BN79" i="5"/>
  <c r="BN183" i="5"/>
  <c r="BM183" i="5"/>
  <c r="BN121" i="5"/>
  <c r="BM121" i="5"/>
  <c r="BN110" i="5"/>
  <c r="BM110" i="5"/>
  <c r="BN486" i="5"/>
  <c r="BM486" i="5"/>
  <c r="BN366" i="5"/>
  <c r="BM366" i="5"/>
  <c r="BM57" i="5"/>
  <c r="BN57" i="5"/>
  <c r="BM532" i="5"/>
  <c r="BN532" i="5"/>
  <c r="BN238" i="5"/>
  <c r="BM238" i="5"/>
  <c r="BN54" i="5"/>
  <c r="BM54" i="5"/>
  <c r="BJ268" i="5"/>
  <c r="BK268" i="5"/>
  <c r="BN303" i="5"/>
  <c r="BM303" i="5"/>
  <c r="BN264" i="5"/>
  <c r="BM264" i="5"/>
  <c r="BN89" i="5"/>
  <c r="BM89" i="5"/>
  <c r="BM40" i="5"/>
  <c r="BN40" i="5"/>
  <c r="BM493" i="5"/>
  <c r="BN493" i="5"/>
  <c r="BN537" i="5"/>
  <c r="BM537" i="5"/>
  <c r="BN309" i="5"/>
  <c r="BM309" i="5"/>
  <c r="AU67" i="4"/>
  <c r="AW67" i="4" s="1"/>
  <c r="BN477" i="5"/>
  <c r="BM477" i="5"/>
  <c r="BJ26" i="5"/>
  <c r="BK26" i="5"/>
  <c r="BJ478" i="5"/>
  <c r="BK478" i="5"/>
  <c r="BJ259" i="5"/>
  <c r="BK259" i="5"/>
  <c r="BM463" i="5"/>
  <c r="BN463" i="5"/>
  <c r="BN255" i="5"/>
  <c r="BM255" i="5"/>
  <c r="BM42" i="5"/>
  <c r="BN42" i="5"/>
  <c r="BN267" i="5"/>
  <c r="BM267" i="5"/>
  <c r="BN76" i="5"/>
  <c r="BM76" i="5"/>
  <c r="BM504" i="5"/>
  <c r="BN504" i="5"/>
  <c r="BN503" i="5"/>
  <c r="BM503" i="5"/>
  <c r="BM102" i="5"/>
  <c r="BN102" i="5"/>
  <c r="BJ207" i="5"/>
  <c r="BK207" i="5"/>
  <c r="BN231" i="5"/>
  <c r="BM231" i="5"/>
  <c r="BM350" i="5"/>
  <c r="BN350" i="5"/>
  <c r="AA21" i="4"/>
  <c r="BM533" i="5"/>
  <c r="BN533" i="5"/>
  <c r="BN382" i="5"/>
  <c r="BM382" i="5"/>
  <c r="BM340" i="5"/>
  <c r="BN340" i="5"/>
  <c r="BM420" i="5"/>
  <c r="BN420" i="5"/>
  <c r="BN539" i="5"/>
  <c r="BM539" i="5"/>
  <c r="BN218" i="5"/>
  <c r="BM218" i="5"/>
  <c r="BJ411" i="5"/>
  <c r="BK411" i="5"/>
  <c r="BK522" i="5"/>
  <c r="BJ522" i="5"/>
  <c r="BK8" i="5"/>
  <c r="BJ8" i="5"/>
  <c r="BM335" i="5"/>
  <c r="BN335" i="5"/>
  <c r="BN188" i="5"/>
  <c r="BM188" i="5"/>
  <c r="BM96" i="5"/>
  <c r="BN96" i="5"/>
  <c r="BN230" i="5"/>
  <c r="BM230" i="5"/>
  <c r="BM105" i="5"/>
  <c r="BN105" i="5"/>
  <c r="BN433" i="5"/>
  <c r="BM433" i="5"/>
  <c r="BM443" i="5"/>
  <c r="BN443" i="5"/>
  <c r="BN442" i="5"/>
  <c r="BM442" i="5"/>
  <c r="BN349" i="5"/>
  <c r="BM349" i="5"/>
  <c r="BK192" i="5"/>
  <c r="BJ192" i="5"/>
  <c r="BJ78" i="5"/>
  <c r="BK78" i="5"/>
  <c r="BM256" i="5"/>
  <c r="BN256" i="5"/>
  <c r="BD11" i="5"/>
  <c r="BE11" i="5"/>
  <c r="BN405" i="5"/>
  <c r="BM405" i="5"/>
  <c r="BN424" i="5"/>
  <c r="BM424" i="5"/>
  <c r="BM531" i="5"/>
  <c r="BN531" i="5"/>
  <c r="BN27" i="5"/>
  <c r="BM27" i="5"/>
  <c r="BM133" i="5"/>
  <c r="BN133" i="5"/>
  <c r="BM19" i="5"/>
  <c r="BN19" i="5"/>
  <c r="BN388" i="5"/>
  <c r="BM388" i="5"/>
  <c r="BM359" i="5"/>
  <c r="BN359" i="5"/>
  <c r="BK349" i="5"/>
  <c r="BJ349" i="5"/>
  <c r="BK282" i="5"/>
  <c r="BJ282" i="5"/>
  <c r="BJ350" i="5"/>
  <c r="BK350" i="5"/>
  <c r="BN259" i="5"/>
  <c r="BM259" i="5"/>
  <c r="BN312" i="5"/>
  <c r="BM312" i="5"/>
  <c r="BM451" i="5"/>
  <c r="BN451" i="5"/>
  <c r="BM131" i="5"/>
  <c r="BN131" i="5"/>
  <c r="BN36" i="5"/>
  <c r="BM36" i="5"/>
  <c r="BN215" i="5"/>
  <c r="BM215" i="5"/>
  <c r="BN194" i="5"/>
  <c r="BM194" i="5"/>
  <c r="BN550" i="5"/>
  <c r="BM550" i="5"/>
  <c r="BK147" i="5"/>
  <c r="BJ147" i="5"/>
  <c r="BK541" i="5"/>
  <c r="BJ541" i="5"/>
  <c r="BK137" i="5"/>
  <c r="BJ137" i="5"/>
  <c r="BM287" i="5"/>
  <c r="BN287" i="5"/>
  <c r="AO45" i="4"/>
  <c r="AU45" i="4" s="1"/>
  <c r="AW45" i="4" s="1"/>
  <c r="BN308" i="5"/>
  <c r="BM308" i="5"/>
  <c r="BM326" i="5"/>
  <c r="BN326" i="5"/>
  <c r="BM409" i="5"/>
  <c r="BN409" i="5"/>
  <c r="BN34" i="5"/>
  <c r="BM34" i="5"/>
  <c r="BM456" i="5"/>
  <c r="BN456" i="5"/>
  <c r="BN444" i="5"/>
  <c r="BM444" i="5"/>
  <c r="BM143" i="5"/>
  <c r="BN143" i="5"/>
  <c r="BM522" i="5"/>
  <c r="BN522" i="5"/>
  <c r="BM51" i="5"/>
  <c r="BN51" i="5"/>
  <c r="BM464" i="5"/>
  <c r="BN464" i="5"/>
  <c r="BM126" i="5"/>
  <c r="BN126" i="5"/>
  <c r="BN516" i="5"/>
  <c r="BM516" i="5"/>
  <c r="BN244" i="5"/>
  <c r="BM244" i="5"/>
  <c r="BN263" i="5"/>
  <c r="BM263" i="5"/>
  <c r="BN290" i="5"/>
  <c r="BM290" i="5"/>
  <c r="BM130" i="5"/>
  <c r="BN130" i="5"/>
  <c r="BJ41" i="5"/>
  <c r="BK41" i="5"/>
  <c r="BN485" i="5"/>
  <c r="BM485" i="5"/>
  <c r="BM511" i="5"/>
  <c r="BN511" i="5"/>
  <c r="BM447" i="5"/>
  <c r="BN447" i="5"/>
  <c r="BN557" i="5"/>
  <c r="BM557" i="5"/>
  <c r="BM196" i="5"/>
  <c r="BN196" i="5"/>
  <c r="BM165" i="5"/>
  <c r="BN165" i="5"/>
  <c r="BM314" i="5"/>
  <c r="BN314" i="5"/>
  <c r="BN411" i="5"/>
  <c r="BM411" i="5"/>
  <c r="BN39" i="5"/>
  <c r="BM39" i="5"/>
  <c r="BM134" i="5"/>
  <c r="BN134" i="5"/>
  <c r="BN177" i="5"/>
  <c r="BM177" i="5"/>
  <c r="BN389" i="5"/>
  <c r="BM389" i="5"/>
  <c r="BM82" i="5"/>
  <c r="BN82" i="5"/>
  <c r="BN146" i="5"/>
  <c r="BM146" i="5"/>
  <c r="BN249" i="5"/>
  <c r="BM249" i="5"/>
  <c r="BM430" i="5"/>
  <c r="BN430" i="5"/>
  <c r="BN53" i="5"/>
  <c r="BM53" i="5"/>
  <c r="BN115" i="5"/>
  <c r="BM115" i="5"/>
  <c r="BM46" i="5"/>
  <c r="BN46" i="5"/>
  <c r="BN205" i="5"/>
  <c r="BM205" i="5"/>
  <c r="BK120" i="5"/>
  <c r="BJ120" i="5"/>
  <c r="BN305" i="5"/>
  <c r="BM305" i="5"/>
  <c r="BN510" i="5"/>
  <c r="BM510" i="5"/>
  <c r="BN473" i="5"/>
  <c r="BM473" i="5"/>
  <c r="BN460" i="5"/>
  <c r="BM460" i="5"/>
  <c r="BM24" i="5"/>
  <c r="BN24" i="5"/>
  <c r="BN436" i="5"/>
  <c r="BM436" i="5"/>
  <c r="BN271" i="5"/>
  <c r="BM271" i="5"/>
  <c r="BM122" i="5"/>
  <c r="BN122" i="5"/>
  <c r="BN108" i="5"/>
  <c r="BM108" i="5"/>
  <c r="BK519" i="5"/>
  <c r="BJ519" i="5"/>
  <c r="BM330" i="5"/>
  <c r="BN330" i="5"/>
  <c r="BM38" i="5"/>
  <c r="BN38" i="5"/>
  <c r="BN519" i="5"/>
  <c r="BM519" i="5"/>
  <c r="BN548" i="5"/>
  <c r="BM548" i="5"/>
  <c r="BM109" i="5"/>
  <c r="BN109" i="5"/>
  <c r="BM520" i="5"/>
  <c r="BN520" i="5"/>
  <c r="BN373" i="5"/>
  <c r="BM373" i="5"/>
  <c r="BJ542" i="5"/>
  <c r="BK542" i="5"/>
  <c r="BK368" i="5"/>
  <c r="BJ368" i="5"/>
  <c r="BJ45" i="5"/>
  <c r="BK45" i="5"/>
  <c r="BJ427" i="5"/>
  <c r="BK427" i="5"/>
  <c r="X11" i="5"/>
  <c r="Y11" i="5"/>
  <c r="BN393" i="5"/>
  <c r="BM393" i="5"/>
  <c r="BM348" i="5"/>
  <c r="BN348" i="5"/>
  <c r="BN383" i="5"/>
  <c r="BM383" i="5"/>
  <c r="BN78" i="5"/>
  <c r="BM78" i="5"/>
  <c r="BM72" i="5"/>
  <c r="BN72" i="5"/>
  <c r="BN99" i="5"/>
  <c r="BM99" i="5"/>
  <c r="BN156" i="5"/>
  <c r="BM156" i="5"/>
  <c r="BM408" i="5"/>
  <c r="BN408" i="5"/>
  <c r="BJ464" i="5"/>
  <c r="BK464" i="5"/>
  <c r="BM135" i="5"/>
  <c r="BN135" i="5"/>
  <c r="BM525" i="5"/>
  <c r="BN525" i="5"/>
  <c r="BM481" i="5"/>
  <c r="BN481" i="5"/>
  <c r="BM364" i="5"/>
  <c r="BN364" i="5"/>
  <c r="BM184" i="5"/>
  <c r="BN184" i="5"/>
  <c r="BN454" i="5"/>
  <c r="BM454" i="5"/>
  <c r="BN71" i="5"/>
  <c r="BM71" i="5"/>
  <c r="BN462" i="5"/>
  <c r="BM462" i="5"/>
  <c r="BN357" i="5"/>
  <c r="BM357" i="5"/>
  <c r="BN547" i="5"/>
  <c r="BM547" i="5"/>
  <c r="BM470" i="5"/>
  <c r="BN470" i="5"/>
  <c r="BN55" i="5"/>
  <c r="BM55" i="5"/>
  <c r="BM379" i="5"/>
  <c r="BN379" i="5"/>
  <c r="BM195" i="5"/>
  <c r="BN195" i="5"/>
  <c r="BM180" i="5"/>
  <c r="BN180" i="5"/>
  <c r="BM12" i="5"/>
  <c r="BN12" i="5"/>
  <c r="BN452" i="5"/>
  <c r="BM452" i="5"/>
  <c r="BK313" i="5"/>
  <c r="BJ313" i="5"/>
  <c r="BK384" i="5"/>
  <c r="BJ384" i="5"/>
  <c r="BN77" i="5"/>
  <c r="BM77" i="5"/>
  <c r="BN281" i="5"/>
  <c r="BM281" i="5"/>
  <c r="BN559" i="5"/>
  <c r="BM559" i="5"/>
  <c r="BN518" i="5"/>
  <c r="BM518" i="5"/>
  <c r="BM248" i="5"/>
  <c r="BN248" i="5"/>
  <c r="BM282" i="5"/>
  <c r="BN282" i="5"/>
  <c r="BN428" i="5"/>
  <c r="BM428" i="5"/>
  <c r="BM170" i="5"/>
  <c r="BN170" i="5"/>
  <c r="AA16" i="4"/>
  <c r="BJ64" i="5"/>
  <c r="BK64" i="5"/>
  <c r="BK326" i="5"/>
  <c r="BJ326" i="5"/>
  <c r="BN83" i="5"/>
  <c r="BM83" i="5"/>
  <c r="BN386" i="5"/>
  <c r="BM386" i="5"/>
  <c r="BM315" i="5"/>
  <c r="BN315" i="5"/>
  <c r="BM200" i="5"/>
  <c r="BN200" i="5"/>
  <c r="BM414" i="5"/>
  <c r="BN414" i="5"/>
  <c r="BN117" i="5"/>
  <c r="BM117" i="5"/>
  <c r="BM62" i="5"/>
  <c r="BN62" i="5"/>
  <c r="BM358" i="5"/>
  <c r="BN358" i="5"/>
  <c r="BN272" i="5"/>
  <c r="BM272" i="5"/>
  <c r="BM431" i="5"/>
  <c r="BN431" i="5"/>
  <c r="BM365" i="5"/>
  <c r="BN365" i="5"/>
  <c r="BN558" i="5"/>
  <c r="BM558" i="5"/>
  <c r="BN293" i="5"/>
  <c r="BM293" i="5"/>
  <c r="BN466" i="5"/>
  <c r="BM466" i="5"/>
  <c r="BN161" i="5"/>
  <c r="BM161" i="5"/>
  <c r="BM23" i="5"/>
  <c r="BN23" i="5"/>
  <c r="BM384" i="5"/>
  <c r="BN384" i="5"/>
  <c r="BN202" i="5"/>
  <c r="BM202" i="5"/>
  <c r="BN227" i="5"/>
  <c r="BM227" i="5"/>
  <c r="BN404" i="5"/>
  <c r="BM404" i="5"/>
  <c r="BN334" i="5"/>
  <c r="BM334" i="5"/>
  <c r="BM85" i="5"/>
  <c r="BN85" i="5"/>
  <c r="BM505" i="5"/>
  <c r="BN505" i="5"/>
  <c r="BM296" i="5"/>
  <c r="BN296" i="5"/>
  <c r="BN529" i="5"/>
  <c r="BM529" i="5"/>
  <c r="BN154" i="5"/>
  <c r="BM154" i="5"/>
  <c r="BJ127" i="5"/>
  <c r="BK127" i="5"/>
  <c r="BM327" i="5"/>
  <c r="BN327" i="5"/>
  <c r="BM376" i="5"/>
  <c r="BN376" i="5"/>
  <c r="BM419" i="5"/>
  <c r="BN419" i="5"/>
  <c r="BM31" i="5"/>
  <c r="BN31" i="5"/>
  <c r="BN517" i="5"/>
  <c r="BM517" i="5"/>
  <c r="BM106" i="5"/>
  <c r="BN106" i="5"/>
  <c r="BM416" i="5"/>
  <c r="BN416" i="5"/>
  <c r="BN295" i="5"/>
  <c r="BM295" i="5"/>
  <c r="BM543" i="5"/>
  <c r="BN543" i="5"/>
  <c r="BM423" i="5"/>
  <c r="BN423" i="5"/>
  <c r="BN168" i="5"/>
  <c r="BM168" i="5"/>
  <c r="U11" i="5"/>
  <c r="V11" i="5"/>
  <c r="BM160" i="5"/>
  <c r="BN160" i="5"/>
  <c r="BM415" i="5"/>
  <c r="BN415" i="5"/>
  <c r="BM311" i="5"/>
  <c r="BN311" i="5"/>
  <c r="BM275" i="5"/>
  <c r="BN275" i="5"/>
  <c r="BM45" i="5"/>
  <c r="BN45" i="5"/>
  <c r="BN549" i="5"/>
  <c r="BM549" i="5"/>
  <c r="AA18" i="4"/>
  <c r="BM199" i="5"/>
  <c r="BN199" i="5"/>
  <c r="BK84" i="5"/>
  <c r="BJ84" i="5"/>
  <c r="BN352" i="5"/>
  <c r="BM352" i="5"/>
  <c r="BM175" i="5"/>
  <c r="BN175" i="5"/>
  <c r="BM506" i="5"/>
  <c r="BN506" i="5"/>
  <c r="BN152" i="5"/>
  <c r="BM152" i="5"/>
  <c r="BN92" i="5"/>
  <c r="BM92" i="5"/>
  <c r="BN273" i="5"/>
  <c r="BM273" i="5"/>
  <c r="BM467" i="5"/>
  <c r="BN467" i="5"/>
  <c r="BM80" i="5"/>
  <c r="BN80" i="5"/>
  <c r="BK441" i="5"/>
  <c r="BJ441" i="5"/>
  <c r="BK38" i="5"/>
  <c r="BJ38" i="5"/>
  <c r="BN307" i="5"/>
  <c r="BM307" i="5"/>
  <c r="BN93" i="5"/>
  <c r="BM93" i="5"/>
  <c r="BN220" i="5"/>
  <c r="BM220" i="5"/>
  <c r="BN498" i="5"/>
  <c r="BM498" i="5"/>
  <c r="BN508" i="5"/>
  <c r="BM508" i="5"/>
  <c r="BM7" i="5"/>
  <c r="BO7" i="5" s="1"/>
  <c r="BN7" i="5"/>
  <c r="BP7" i="5" s="1"/>
  <c r="BM297" i="5"/>
  <c r="BN297" i="5"/>
  <c r="BN47" i="5"/>
  <c r="BM47" i="5"/>
  <c r="BM226" i="5"/>
  <c r="BN226" i="5"/>
  <c r="BN213" i="5"/>
  <c r="BM213" i="5"/>
  <c r="AO59" i="4" l="1"/>
  <c r="AU59" i="4" s="1"/>
  <c r="AW59" i="4" s="1"/>
  <c r="AO71" i="4"/>
  <c r="AU71" i="4" s="1"/>
  <c r="AW71" i="4" s="1"/>
  <c r="AK14" i="4"/>
  <c r="AL14" i="4" s="1"/>
  <c r="AO14" i="4" s="1"/>
  <c r="AA14" i="4"/>
  <c r="AQ14" i="4" s="1"/>
  <c r="AC56" i="4"/>
  <c r="AD56" i="4" s="1"/>
  <c r="AP56" i="4"/>
  <c r="AU94" i="4"/>
  <c r="AW94" i="4" s="1"/>
  <c r="AO138" i="4"/>
  <c r="AO134" i="4"/>
  <c r="AU134" i="4" s="1"/>
  <c r="AW134" i="4" s="1"/>
  <c r="AP64" i="4"/>
  <c r="AO46" i="4"/>
  <c r="AC64" i="4"/>
  <c r="AD64" i="4" s="1"/>
  <c r="AJ64" i="4"/>
  <c r="AQ38" i="4"/>
  <c r="AK10" i="4"/>
  <c r="AL10" i="4" s="1"/>
  <c r="AO10" i="4" s="1"/>
  <c r="AA10" i="4"/>
  <c r="AQ10" i="4" s="1"/>
  <c r="AP38" i="4"/>
  <c r="AC47" i="4"/>
  <c r="AD47" i="4" s="1"/>
  <c r="AQ43" i="4"/>
  <c r="AO22" i="4"/>
  <c r="AU130" i="4"/>
  <c r="AW130" i="4" s="1"/>
  <c r="AK12" i="4"/>
  <c r="AL12" i="4" s="1"/>
  <c r="AO12" i="4" s="1"/>
  <c r="AA12" i="4"/>
  <c r="AP12" i="4" s="1"/>
  <c r="AK64" i="4"/>
  <c r="AL64" i="4" s="1"/>
  <c r="AO64" i="4" s="1"/>
  <c r="AJ107" i="4"/>
  <c r="AK107" i="4"/>
  <c r="AL107" i="4" s="1"/>
  <c r="AO107" i="4" s="1"/>
  <c r="AO47" i="4"/>
  <c r="AP123" i="4"/>
  <c r="AU115" i="4"/>
  <c r="AW115" i="4" s="1"/>
  <c r="AO56" i="4"/>
  <c r="AQ107" i="4"/>
  <c r="AP47" i="4"/>
  <c r="BJ319" i="5"/>
  <c r="BO319" i="5" s="1"/>
  <c r="AJ48" i="4"/>
  <c r="AU49" i="4"/>
  <c r="AW49" i="4" s="1"/>
  <c r="AA7" i="4"/>
  <c r="AP7" i="4" s="1"/>
  <c r="AK7" i="4"/>
  <c r="AL7" i="4" s="1"/>
  <c r="AO7" i="4" s="1"/>
  <c r="AC123" i="4"/>
  <c r="AD123" i="4" s="1"/>
  <c r="AP79" i="4"/>
  <c r="AA8" i="4"/>
  <c r="AC8" i="4" s="1"/>
  <c r="AD8" i="4" s="1"/>
  <c r="AK34" i="4"/>
  <c r="AL34" i="4" s="1"/>
  <c r="AO34" i="4" s="1"/>
  <c r="AK8" i="4"/>
  <c r="AL8" i="4" s="1"/>
  <c r="AO8" i="4" s="1"/>
  <c r="AP34" i="4"/>
  <c r="AQ34" i="4"/>
  <c r="AJ34" i="4"/>
  <c r="AJ72" i="4"/>
  <c r="AK72" i="4"/>
  <c r="AL72" i="4" s="1"/>
  <c r="AO72" i="4" s="1"/>
  <c r="AO36" i="4"/>
  <c r="AK48" i="4"/>
  <c r="AL48" i="4" s="1"/>
  <c r="AO48" i="4" s="1"/>
  <c r="AC48" i="4"/>
  <c r="AD48" i="4" s="1"/>
  <c r="AP48" i="4"/>
  <c r="AU155" i="4"/>
  <c r="AW155" i="4" s="1"/>
  <c r="AC72" i="4"/>
  <c r="AD72" i="4" s="1"/>
  <c r="AO133" i="4"/>
  <c r="AU133" i="4" s="1"/>
  <c r="AW133" i="4" s="1"/>
  <c r="AP72" i="4"/>
  <c r="AO123" i="4"/>
  <c r="AQ25" i="4"/>
  <c r="AK79" i="4"/>
  <c r="AL79" i="4" s="1"/>
  <c r="AO79" i="4" s="1"/>
  <c r="AJ79" i="4"/>
  <c r="AK20" i="4"/>
  <c r="AL20" i="4" s="1"/>
  <c r="AO20" i="4" s="1"/>
  <c r="AQ79" i="4"/>
  <c r="AA20" i="4"/>
  <c r="AC20" i="4" s="1"/>
  <c r="AD20" i="4" s="1"/>
  <c r="AU141" i="4"/>
  <c r="AW141" i="4" s="1"/>
  <c r="AU153" i="4"/>
  <c r="AW153" i="4" s="1"/>
  <c r="AU148" i="4"/>
  <c r="AW148" i="4" s="1"/>
  <c r="AJ25" i="4"/>
  <c r="AK25" i="4"/>
  <c r="AL25" i="4" s="1"/>
  <c r="AO25" i="4" s="1"/>
  <c r="AP25" i="4"/>
  <c r="AP107" i="4"/>
  <c r="AK43" i="4"/>
  <c r="AL43" i="4" s="1"/>
  <c r="AO43" i="4" s="1"/>
  <c r="AP43" i="4"/>
  <c r="AJ43" i="4"/>
  <c r="AU110" i="4"/>
  <c r="AW110" i="4" s="1"/>
  <c r="AP147" i="4"/>
  <c r="AC147" i="4"/>
  <c r="AD147" i="4" s="1"/>
  <c r="BO127" i="5"/>
  <c r="AK152" i="4"/>
  <c r="AL152" i="4" s="1"/>
  <c r="AO152" i="4" s="1"/>
  <c r="BP147" i="5"/>
  <c r="AQ81" i="4"/>
  <c r="AC81" i="4"/>
  <c r="AD81" i="4" s="1"/>
  <c r="AA152" i="4"/>
  <c r="AU109" i="4"/>
  <c r="AW109" i="4" s="1"/>
  <c r="AA93" i="4"/>
  <c r="AK93" i="4"/>
  <c r="AL93" i="4" s="1"/>
  <c r="AO93" i="4" s="1"/>
  <c r="AJ93" i="4"/>
  <c r="AQ37" i="4"/>
  <c r="AP37" i="4"/>
  <c r="BK424" i="5"/>
  <c r="BP424" i="5" s="1"/>
  <c r="BJ387" i="5"/>
  <c r="BO387" i="5" s="1"/>
  <c r="BJ217" i="5"/>
  <c r="BO217" i="5" s="1"/>
  <c r="BK267" i="5"/>
  <c r="BP267" i="5" s="1"/>
  <c r="AQ70" i="4"/>
  <c r="BO137" i="5"/>
  <c r="BP64" i="5"/>
  <c r="BP191" i="5"/>
  <c r="BP26" i="5"/>
  <c r="AC69" i="4"/>
  <c r="AD69" i="4" s="1"/>
  <c r="AP69" i="4"/>
  <c r="AQ41" i="4"/>
  <c r="AC41" i="4"/>
  <c r="AD41" i="4" s="1"/>
  <c r="BP542" i="5"/>
  <c r="BP240" i="5"/>
  <c r="BO38" i="5"/>
  <c r="BP116" i="5"/>
  <c r="BJ199" i="5"/>
  <c r="BO199" i="5" s="1"/>
  <c r="BK36" i="5"/>
  <c r="BP36" i="5" s="1"/>
  <c r="BK106" i="5"/>
  <c r="BP106" i="5" s="1"/>
  <c r="BJ216" i="5"/>
  <c r="BO216" i="5" s="1"/>
  <c r="BJ238" i="5"/>
  <c r="BO238" i="5" s="1"/>
  <c r="AP70" i="4"/>
  <c r="BJ263" i="5"/>
  <c r="BO263" i="5" s="1"/>
  <c r="BK444" i="5"/>
  <c r="BP444" i="5" s="1"/>
  <c r="AP51" i="4"/>
  <c r="AQ52" i="4"/>
  <c r="BJ80" i="5"/>
  <c r="BO80" i="5" s="1"/>
  <c r="BJ379" i="5"/>
  <c r="BO379" i="5" s="1"/>
  <c r="AP52" i="4"/>
  <c r="BK142" i="5"/>
  <c r="BP142" i="5" s="1"/>
  <c r="BP515" i="5"/>
  <c r="BO448" i="5"/>
  <c r="BP541" i="5"/>
  <c r="BP145" i="5"/>
  <c r="BP192" i="5"/>
  <c r="AC57" i="4"/>
  <c r="AD57" i="4" s="1"/>
  <c r="BP441" i="5"/>
  <c r="BP84" i="5"/>
  <c r="AP57" i="4"/>
  <c r="BP127" i="5"/>
  <c r="BP368" i="5"/>
  <c r="BK86" i="5"/>
  <c r="BP86" i="5" s="1"/>
  <c r="BJ436" i="5"/>
  <c r="BO436" i="5" s="1"/>
  <c r="BP158" i="5"/>
  <c r="BK546" i="5"/>
  <c r="BP546" i="5" s="1"/>
  <c r="BK237" i="5"/>
  <c r="BP237" i="5" s="1"/>
  <c r="AU66" i="4"/>
  <c r="AW66" i="4" s="1"/>
  <c r="BK274" i="5"/>
  <c r="BP274" i="5" s="1"/>
  <c r="BJ508" i="5"/>
  <c r="BO508" i="5" s="1"/>
  <c r="BO487" i="5"/>
  <c r="BP448" i="5"/>
  <c r="BO140" i="5"/>
  <c r="BO378" i="5"/>
  <c r="BP268" i="5"/>
  <c r="BP214" i="5"/>
  <c r="BP394" i="5"/>
  <c r="BP235" i="5"/>
  <c r="BP350" i="5"/>
  <c r="BP257" i="5"/>
  <c r="BP137" i="5"/>
  <c r="BO120" i="5"/>
  <c r="BO26" i="5"/>
  <c r="BO144" i="5"/>
  <c r="BO207" i="5"/>
  <c r="BO542" i="5"/>
  <c r="BO237" i="5"/>
  <c r="BO345" i="5"/>
  <c r="BO429" i="5"/>
  <c r="BO427" i="5"/>
  <c r="BO192" i="5"/>
  <c r="BP10" i="5"/>
  <c r="BO35" i="5"/>
  <c r="BP251" i="5"/>
  <c r="BO546" i="5"/>
  <c r="BP317" i="5"/>
  <c r="BO354" i="5"/>
  <c r="BP38" i="5"/>
  <c r="BO245" i="5"/>
  <c r="BK144" i="5"/>
  <c r="BP144" i="5" s="1"/>
  <c r="BJ539" i="5"/>
  <c r="BO539" i="5" s="1"/>
  <c r="BK390" i="5"/>
  <c r="BP390" i="5" s="1"/>
  <c r="BK245" i="5"/>
  <c r="BP245" i="5" s="1"/>
  <c r="AU65" i="4"/>
  <c r="AW65" i="4" s="1"/>
  <c r="BK437" i="5"/>
  <c r="BP437" i="5" s="1"/>
  <c r="BK499" i="5"/>
  <c r="BP499" i="5" s="1"/>
  <c r="BK378" i="5"/>
  <c r="BP378" i="5" s="1"/>
  <c r="BM9" i="5"/>
  <c r="AU157" i="4"/>
  <c r="AW157" i="4" s="1"/>
  <c r="BJ250" i="5"/>
  <c r="BO250" i="5" s="1"/>
  <c r="BJ201" i="5"/>
  <c r="BO201" i="5" s="1"/>
  <c r="BJ305" i="5"/>
  <c r="BO305" i="5" s="1"/>
  <c r="BJ344" i="5"/>
  <c r="BO344" i="5" s="1"/>
  <c r="BJ193" i="5"/>
  <c r="BO193" i="5" s="1"/>
  <c r="BK197" i="5"/>
  <c r="BP197" i="5" s="1"/>
  <c r="BJ108" i="5"/>
  <c r="BO108" i="5" s="1"/>
  <c r="BK298" i="5"/>
  <c r="BP298" i="5" s="1"/>
  <c r="BJ360" i="5"/>
  <c r="BO360" i="5" s="1"/>
  <c r="BJ347" i="5"/>
  <c r="BO347" i="5" s="1"/>
  <c r="BJ479" i="5"/>
  <c r="BO479" i="5" s="1"/>
  <c r="BJ359" i="5"/>
  <c r="BO359" i="5" s="1"/>
  <c r="BJ492" i="5"/>
  <c r="BO492" i="5" s="1"/>
  <c r="BK558" i="5"/>
  <c r="BP558" i="5" s="1"/>
  <c r="BK117" i="5"/>
  <c r="BP117" i="5" s="1"/>
  <c r="BK518" i="5"/>
  <c r="BP518" i="5" s="1"/>
  <c r="BK167" i="5"/>
  <c r="BP167" i="5" s="1"/>
  <c r="BJ128" i="5"/>
  <c r="BO128" i="5" s="1"/>
  <c r="BK414" i="5"/>
  <c r="BP414" i="5" s="1"/>
  <c r="BJ235" i="5"/>
  <c r="BO235" i="5" s="1"/>
  <c r="BJ503" i="5"/>
  <c r="BO503" i="5" s="1"/>
  <c r="AU82" i="4"/>
  <c r="AW82" i="4" s="1"/>
  <c r="AU111" i="4"/>
  <c r="AW111" i="4" s="1"/>
  <c r="BJ9" i="5"/>
  <c r="BK354" i="5"/>
  <c r="BP354" i="5" s="1"/>
  <c r="AU142" i="4"/>
  <c r="AW142" i="4" s="1"/>
  <c r="BJ115" i="5"/>
  <c r="BO115" i="5" s="1"/>
  <c r="BK338" i="5"/>
  <c r="BP338" i="5" s="1"/>
  <c r="BJ214" i="5"/>
  <c r="BO214" i="5" s="1"/>
  <c r="BK516" i="5"/>
  <c r="BP516" i="5" s="1"/>
  <c r="BJ42" i="5"/>
  <c r="BO42" i="5" s="1"/>
  <c r="BK90" i="5"/>
  <c r="BP90" i="5" s="1"/>
  <c r="BK345" i="5"/>
  <c r="BP345" i="5" s="1"/>
  <c r="BJ535" i="5"/>
  <c r="BO535" i="5" s="1"/>
  <c r="BK429" i="5"/>
  <c r="BP429" i="5" s="1"/>
  <c r="BK484" i="5"/>
  <c r="BP484" i="5" s="1"/>
  <c r="BK408" i="5"/>
  <c r="BP408" i="5" s="1"/>
  <c r="BK170" i="5"/>
  <c r="BP170" i="5" s="1"/>
  <c r="BJ335" i="5"/>
  <c r="BO335" i="5" s="1"/>
  <c r="BJ227" i="5"/>
  <c r="BO227" i="5" s="1"/>
  <c r="BJ393" i="5"/>
  <c r="BO393" i="5" s="1"/>
  <c r="BJ136" i="5"/>
  <c r="BO136" i="5" s="1"/>
  <c r="BJ339" i="5"/>
  <c r="BO339" i="5" s="1"/>
  <c r="BK311" i="5"/>
  <c r="BP311" i="5" s="1"/>
  <c r="BJ165" i="5"/>
  <c r="BO165" i="5" s="1"/>
  <c r="BJ291" i="5"/>
  <c r="BO291" i="5" s="1"/>
  <c r="BK547" i="5"/>
  <c r="BP547" i="5" s="1"/>
  <c r="BK385" i="5"/>
  <c r="BP385" i="5" s="1"/>
  <c r="BK489" i="5"/>
  <c r="BP489" i="5" s="1"/>
  <c r="BK174" i="5"/>
  <c r="BP174" i="5" s="1"/>
  <c r="BK306" i="5"/>
  <c r="BP306" i="5" s="1"/>
  <c r="BJ317" i="5"/>
  <c r="BO317" i="5" s="1"/>
  <c r="AQ154" i="4"/>
  <c r="AP154" i="4"/>
  <c r="BJ483" i="5"/>
  <c r="BO483" i="5" s="1"/>
  <c r="BK488" i="5"/>
  <c r="BP488" i="5" s="1"/>
  <c r="AU78" i="4"/>
  <c r="AW78" i="4" s="1"/>
  <c r="AQ51" i="4"/>
  <c r="AP143" i="4"/>
  <c r="AC143" i="4"/>
  <c r="AD143" i="4" s="1"/>
  <c r="BK224" i="5"/>
  <c r="BP224" i="5" s="1"/>
  <c r="AC11" i="4"/>
  <c r="AD11" i="4" s="1"/>
  <c r="BK50" i="5"/>
  <c r="BP50" i="5" s="1"/>
  <c r="BJ374" i="5"/>
  <c r="BO374" i="5" s="1"/>
  <c r="AQ11" i="4"/>
  <c r="BJ251" i="5"/>
  <c r="BO251" i="5" s="1"/>
  <c r="BJ394" i="5"/>
  <c r="BO394" i="5" s="1"/>
  <c r="AP118" i="4"/>
  <c r="AP61" i="4"/>
  <c r="AC61" i="4"/>
  <c r="AD61" i="4" s="1"/>
  <c r="BO499" i="5"/>
  <c r="BO390" i="5"/>
  <c r="BK346" i="5"/>
  <c r="BP346" i="5" s="1"/>
  <c r="BP81" i="5"/>
  <c r="BP250" i="5"/>
  <c r="BO437" i="5"/>
  <c r="AU83" i="4"/>
  <c r="AW83" i="4" s="1"/>
  <c r="BK82" i="5"/>
  <c r="BP82" i="5" s="1"/>
  <c r="BO268" i="5"/>
  <c r="BP291" i="5"/>
  <c r="BJ161" i="5"/>
  <c r="BO161" i="5" s="1"/>
  <c r="BO478" i="5"/>
  <c r="BK381" i="5"/>
  <c r="BP381" i="5" s="1"/>
  <c r="BO544" i="5"/>
  <c r="BJ501" i="5"/>
  <c r="BO501" i="5" s="1"/>
  <c r="BJ95" i="5"/>
  <c r="BO95" i="5" s="1"/>
  <c r="BK517" i="5"/>
  <c r="BP517" i="5" s="1"/>
  <c r="BP201" i="5"/>
  <c r="BO400" i="5"/>
  <c r="BO464" i="5"/>
  <c r="BO145" i="5"/>
  <c r="AQ139" i="4"/>
  <c r="AP139" i="4"/>
  <c r="AQ87" i="4"/>
  <c r="AP87" i="4"/>
  <c r="AC87" i="4"/>
  <c r="AD87" i="4" s="1"/>
  <c r="BJ47" i="5"/>
  <c r="BO47" i="5" s="1"/>
  <c r="AU62" i="4"/>
  <c r="AW62" i="4" s="1"/>
  <c r="AQ120" i="4"/>
  <c r="AC120" i="4"/>
  <c r="AD120" i="4" s="1"/>
  <c r="AC125" i="4"/>
  <c r="AD125" i="4" s="1"/>
  <c r="AP125" i="4"/>
  <c r="AC118" i="4"/>
  <c r="AD118" i="4" s="1"/>
  <c r="BJ49" i="5"/>
  <c r="BO49" i="5" s="1"/>
  <c r="BK400" i="5"/>
  <c r="BP400" i="5" s="1"/>
  <c r="BJ495" i="5"/>
  <c r="BO495" i="5" s="1"/>
  <c r="BJ89" i="5"/>
  <c r="BO89" i="5" s="1"/>
  <c r="BJ131" i="5"/>
  <c r="BO131" i="5" s="1"/>
  <c r="AC68" i="4"/>
  <c r="AD68" i="4" s="1"/>
  <c r="BO468" i="5"/>
  <c r="BO338" i="5"/>
  <c r="BP139" i="5"/>
  <c r="BO343" i="5"/>
  <c r="BP302" i="5"/>
  <c r="AQ103" i="4"/>
  <c r="AC103" i="4"/>
  <c r="AD103" i="4" s="1"/>
  <c r="BP164" i="5"/>
  <c r="BP258" i="5"/>
  <c r="BP300" i="5"/>
  <c r="BO413" i="5"/>
  <c r="BP39" i="5"/>
  <c r="BO138" i="5"/>
  <c r="BP54" i="5"/>
  <c r="BP433" i="5"/>
  <c r="BO469" i="5"/>
  <c r="BO450" i="5"/>
  <c r="BO363" i="5"/>
  <c r="BP241" i="5"/>
  <c r="BP465" i="5"/>
  <c r="BP512" i="5"/>
  <c r="BO284" i="5"/>
  <c r="BO52" i="5"/>
  <c r="AC149" i="4"/>
  <c r="AD149" i="4" s="1"/>
  <c r="AQ149" i="4"/>
  <c r="AP149" i="4"/>
  <c r="BP384" i="5"/>
  <c r="BP554" i="5"/>
  <c r="BO67" i="5"/>
  <c r="BP97" i="5"/>
  <c r="AP103" i="4"/>
  <c r="AP68" i="4"/>
  <c r="AQ144" i="4"/>
  <c r="AC144" i="4"/>
  <c r="AD144" i="4" s="1"/>
  <c r="AP144" i="4"/>
  <c r="BO304" i="5"/>
  <c r="BO256" i="5"/>
  <c r="BP19" i="5"/>
  <c r="BK556" i="5"/>
  <c r="BP556" i="5" s="1"/>
  <c r="BK198" i="5"/>
  <c r="BP198" i="5" s="1"/>
  <c r="BK468" i="5"/>
  <c r="BP468" i="5" s="1"/>
  <c r="BJ320" i="5"/>
  <c r="BO320" i="5" s="1"/>
  <c r="BK343" i="5"/>
  <c r="BP343" i="5" s="1"/>
  <c r="BJ302" i="5"/>
  <c r="BO302" i="5" s="1"/>
  <c r="BJ107" i="5"/>
  <c r="BO107" i="5" s="1"/>
  <c r="BJ152" i="5"/>
  <c r="BO152" i="5" s="1"/>
  <c r="BJ139" i="5"/>
  <c r="BO139" i="5" s="1"/>
  <c r="BJ293" i="5"/>
  <c r="BO293" i="5" s="1"/>
  <c r="BJ168" i="5"/>
  <c r="BO168" i="5" s="1"/>
  <c r="AU126" i="4"/>
  <c r="AW126" i="4" s="1"/>
  <c r="AP19" i="4"/>
  <c r="BK296" i="5"/>
  <c r="BP296" i="5" s="1"/>
  <c r="BJ537" i="5"/>
  <c r="BO537" i="5" s="1"/>
  <c r="AU33" i="4"/>
  <c r="AW33" i="4" s="1"/>
  <c r="BJ456" i="5"/>
  <c r="BO456" i="5" s="1"/>
  <c r="BJ525" i="5"/>
  <c r="BO525" i="5" s="1"/>
  <c r="BJ91" i="5"/>
  <c r="BO91" i="5" s="1"/>
  <c r="BK514" i="5"/>
  <c r="BP514" i="5" s="1"/>
  <c r="BJ554" i="5"/>
  <c r="BO554" i="5" s="1"/>
  <c r="AU117" i="4"/>
  <c r="AW117" i="4" s="1"/>
  <c r="AU137" i="4"/>
  <c r="AW137" i="4" s="1"/>
  <c r="BK51" i="5"/>
  <c r="BP51" i="5" s="1"/>
  <c r="BJ30" i="5"/>
  <c r="BO30" i="5" s="1"/>
  <c r="BK244" i="5"/>
  <c r="BP244" i="5" s="1"/>
  <c r="BJ496" i="5"/>
  <c r="BO496" i="5" s="1"/>
  <c r="AU96" i="4"/>
  <c r="AW96" i="4" s="1"/>
  <c r="BJ149" i="5"/>
  <c r="BO149" i="5" s="1"/>
  <c r="AP17" i="4"/>
  <c r="BJ97" i="5"/>
  <c r="BO97" i="5" s="1"/>
  <c r="AC17" i="4"/>
  <c r="AD17" i="4" s="1"/>
  <c r="BJ549" i="5"/>
  <c r="BO549" i="5" s="1"/>
  <c r="AU91" i="4"/>
  <c r="AW91" i="4" s="1"/>
  <c r="AU104" i="4"/>
  <c r="AW104" i="4" s="1"/>
  <c r="BK176" i="5"/>
  <c r="BP176" i="5" s="1"/>
  <c r="BJ39" i="5"/>
  <c r="BO39" i="5" s="1"/>
  <c r="BK327" i="5"/>
  <c r="BP327" i="5" s="1"/>
  <c r="BJ164" i="5"/>
  <c r="BO164" i="5" s="1"/>
  <c r="BK462" i="5"/>
  <c r="BP462" i="5" s="1"/>
  <c r="BJ372" i="5"/>
  <c r="BO372" i="5" s="1"/>
  <c r="AU124" i="4"/>
  <c r="AW124" i="4" s="1"/>
  <c r="AC55" i="4"/>
  <c r="AD55" i="4" s="1"/>
  <c r="BJ300" i="5"/>
  <c r="BO300" i="5" s="1"/>
  <c r="BJ258" i="5"/>
  <c r="BO258" i="5" s="1"/>
  <c r="AP55" i="4"/>
  <c r="BK413" i="5"/>
  <c r="BP413" i="5" s="1"/>
  <c r="AC19" i="4"/>
  <c r="AD19" i="4" s="1"/>
  <c r="BK340" i="5"/>
  <c r="BP340" i="5" s="1"/>
  <c r="BK447" i="5"/>
  <c r="BP447" i="5" s="1"/>
  <c r="AU156" i="4"/>
  <c r="AW156" i="4" s="1"/>
  <c r="BK177" i="5"/>
  <c r="BP177" i="5" s="1"/>
  <c r="BJ532" i="5"/>
  <c r="BO532" i="5" s="1"/>
  <c r="BJ54" i="5"/>
  <c r="BO54" i="5" s="1"/>
  <c r="AU24" i="4"/>
  <c r="AW24" i="4" s="1"/>
  <c r="BJ71" i="5"/>
  <c r="BO71" i="5" s="1"/>
  <c r="BK469" i="5"/>
  <c r="BP469" i="5" s="1"/>
  <c r="BJ521" i="5"/>
  <c r="BO521" i="5" s="1"/>
  <c r="BK545" i="5"/>
  <c r="BP545" i="5" s="1"/>
  <c r="BK138" i="5"/>
  <c r="BP138" i="5" s="1"/>
  <c r="BJ420" i="5"/>
  <c r="BO420" i="5" s="1"/>
  <c r="BJ72" i="5"/>
  <c r="BO72" i="5" s="1"/>
  <c r="BJ213" i="5"/>
  <c r="BO213" i="5" s="1"/>
  <c r="BJ433" i="5"/>
  <c r="BO433" i="5" s="1"/>
  <c r="BJ520" i="5"/>
  <c r="BO520" i="5" s="1"/>
  <c r="BK316" i="5"/>
  <c r="BP316" i="5" s="1"/>
  <c r="BJ446" i="5"/>
  <c r="BO446" i="5" s="1"/>
  <c r="BJ471" i="5"/>
  <c r="BO471" i="5" s="1"/>
  <c r="BK105" i="5"/>
  <c r="BP105" i="5" s="1"/>
  <c r="BJ66" i="5"/>
  <c r="BO66" i="5" s="1"/>
  <c r="AU108" i="4"/>
  <c r="AW108" i="4" s="1"/>
  <c r="BJ44" i="5"/>
  <c r="BO44" i="5" s="1"/>
  <c r="BK500" i="5"/>
  <c r="BP500" i="5" s="1"/>
  <c r="BK67" i="5"/>
  <c r="BP67" i="5" s="1"/>
  <c r="BK466" i="5"/>
  <c r="BP466" i="5" s="1"/>
  <c r="BK253" i="5"/>
  <c r="BP253" i="5" s="1"/>
  <c r="BJ226" i="5"/>
  <c r="BO226" i="5" s="1"/>
  <c r="BJ75" i="5"/>
  <c r="BO75" i="5" s="1"/>
  <c r="BK284" i="5"/>
  <c r="BP284" i="5" s="1"/>
  <c r="BK98" i="5"/>
  <c r="BP98" i="5" s="1"/>
  <c r="BK491" i="5"/>
  <c r="BP491" i="5" s="1"/>
  <c r="BJ63" i="5"/>
  <c r="BO63" i="5" s="1"/>
  <c r="BK450" i="5"/>
  <c r="BP450" i="5" s="1"/>
  <c r="BK363" i="5"/>
  <c r="BP363" i="5" s="1"/>
  <c r="BJ241" i="5"/>
  <c r="BO241" i="5" s="1"/>
  <c r="BJ361" i="5"/>
  <c r="BO361" i="5" s="1"/>
  <c r="BK281" i="5"/>
  <c r="BP281" i="5" s="1"/>
  <c r="BJ512" i="5"/>
  <c r="BO512" i="5" s="1"/>
  <c r="BK443" i="5"/>
  <c r="BP443" i="5" s="1"/>
  <c r="BK52" i="5"/>
  <c r="BP52" i="5" s="1"/>
  <c r="BJ288" i="5"/>
  <c r="BO288" i="5" s="1"/>
  <c r="BK218" i="5"/>
  <c r="BP218" i="5" s="1"/>
  <c r="BJ465" i="5"/>
  <c r="BO465" i="5" s="1"/>
  <c r="BJ373" i="5"/>
  <c r="BO373" i="5" s="1"/>
  <c r="BP464" i="5"/>
  <c r="BO73" i="5"/>
  <c r="BP313" i="5"/>
  <c r="BP120" i="5"/>
  <c r="BP30" i="5"/>
  <c r="BO418" i="5"/>
  <c r="BP331" i="5"/>
  <c r="BP113" i="5"/>
  <c r="BO40" i="5"/>
  <c r="BO441" i="5"/>
  <c r="BP367" i="5"/>
  <c r="BO428" i="5"/>
  <c r="BP501" i="5"/>
  <c r="BP131" i="5"/>
  <c r="BO316" i="5"/>
  <c r="BP182" i="5"/>
  <c r="BO98" i="5"/>
  <c r="BO324" i="5"/>
  <c r="BO105" i="5"/>
  <c r="BP49" i="5"/>
  <c r="BJ19" i="5"/>
  <c r="BO19" i="5" s="1"/>
  <c r="AU95" i="4"/>
  <c r="AW95" i="4" s="1"/>
  <c r="AU76" i="4"/>
  <c r="AW76" i="4" s="1"/>
  <c r="AU40" i="4"/>
  <c r="AW40" i="4" s="1"/>
  <c r="BK219" i="5"/>
  <c r="BP219" i="5" s="1"/>
  <c r="AU106" i="4"/>
  <c r="AW106" i="4" s="1"/>
  <c r="BJ295" i="5"/>
  <c r="BO295" i="5" s="1"/>
  <c r="AU98" i="4"/>
  <c r="AW98" i="4" s="1"/>
  <c r="AU53" i="4"/>
  <c r="AW53" i="4" s="1"/>
  <c r="BK356" i="5"/>
  <c r="BP356" i="5" s="1"/>
  <c r="BK458" i="5"/>
  <c r="BP458" i="5" s="1"/>
  <c r="BJ310" i="5"/>
  <c r="BO310" i="5" s="1"/>
  <c r="BK256" i="5"/>
  <c r="BP256" i="5" s="1"/>
  <c r="BK328" i="5"/>
  <c r="BP328" i="5" s="1"/>
  <c r="BJ232" i="5"/>
  <c r="BO232" i="5" s="1"/>
  <c r="AU26" i="4"/>
  <c r="AW26" i="4" s="1"/>
  <c r="BJ331" i="5"/>
  <c r="BO331" i="5" s="1"/>
  <c r="BJ68" i="5"/>
  <c r="BO68" i="5" s="1"/>
  <c r="BK418" i="5"/>
  <c r="BP418" i="5" s="1"/>
  <c r="BK229" i="5"/>
  <c r="BP229" i="5" s="1"/>
  <c r="BJ485" i="5"/>
  <c r="BO485" i="5" s="1"/>
  <c r="BK73" i="5"/>
  <c r="BP73" i="5" s="1"/>
  <c r="BK55" i="5"/>
  <c r="BP55" i="5" s="1"/>
  <c r="BJ463" i="5"/>
  <c r="BO463" i="5" s="1"/>
  <c r="AC90" i="4"/>
  <c r="AD90" i="4" s="1"/>
  <c r="AU85" i="4"/>
  <c r="AW85" i="4" s="1"/>
  <c r="AU140" i="4"/>
  <c r="AW140" i="4" s="1"/>
  <c r="AU73" i="4"/>
  <c r="AW73" i="4" s="1"/>
  <c r="BJ248" i="5"/>
  <c r="BO248" i="5" s="1"/>
  <c r="BK336" i="5"/>
  <c r="BP336" i="5" s="1"/>
  <c r="BJ109" i="5"/>
  <c r="BO109" i="5" s="1"/>
  <c r="BK341" i="5"/>
  <c r="BP341" i="5" s="1"/>
  <c r="BJ85" i="5"/>
  <c r="BO85" i="5" s="1"/>
  <c r="AU100" i="4"/>
  <c r="AW100" i="4" s="1"/>
  <c r="BK254" i="5"/>
  <c r="BP254" i="5" s="1"/>
  <c r="BK162" i="5"/>
  <c r="BP162" i="5" s="1"/>
  <c r="BJ416" i="5"/>
  <c r="BO416" i="5" s="1"/>
  <c r="BJ194" i="5"/>
  <c r="BO194" i="5" s="1"/>
  <c r="BK275" i="5"/>
  <c r="BP275" i="5" s="1"/>
  <c r="BJ221" i="5"/>
  <c r="BO221" i="5" s="1"/>
  <c r="BK428" i="5"/>
  <c r="BP428" i="5" s="1"/>
  <c r="BK371" i="5"/>
  <c r="BP371" i="5" s="1"/>
  <c r="AU74" i="4"/>
  <c r="AW74" i="4" s="1"/>
  <c r="BJ367" i="5"/>
  <c r="BO367" i="5" s="1"/>
  <c r="BJ222" i="5"/>
  <c r="BO222" i="5" s="1"/>
  <c r="AP90" i="4"/>
  <c r="BP163" i="5"/>
  <c r="BP326" i="5"/>
  <c r="BP165" i="5"/>
  <c r="BO350" i="5"/>
  <c r="BP349" i="5"/>
  <c r="BJ113" i="5"/>
  <c r="BO113" i="5" s="1"/>
  <c r="BP551" i="5"/>
  <c r="BP422" i="5"/>
  <c r="BP453" i="5"/>
  <c r="BP362" i="5"/>
  <c r="BP111" i="5"/>
  <c r="BP44" i="5"/>
  <c r="BP217" i="5"/>
  <c r="BP309" i="5"/>
  <c r="BP269" i="5"/>
  <c r="BO260" i="5"/>
  <c r="BO421" i="5"/>
  <c r="BP215" i="5"/>
  <c r="AP102" i="4"/>
  <c r="AC119" i="4"/>
  <c r="AD119" i="4" s="1"/>
  <c r="AQ119" i="4"/>
  <c r="BP427" i="5"/>
  <c r="BO556" i="5"/>
  <c r="BO90" i="5"/>
  <c r="BO239" i="5"/>
  <c r="AQ146" i="4"/>
  <c r="AC146" i="4"/>
  <c r="AD146" i="4" s="1"/>
  <c r="AP146" i="4"/>
  <c r="BO514" i="5"/>
  <c r="BO313" i="5"/>
  <c r="BK160" i="5"/>
  <c r="BP160" i="5" s="1"/>
  <c r="BO259" i="5"/>
  <c r="BP232" i="5"/>
  <c r="BO371" i="5"/>
  <c r="BO500" i="5"/>
  <c r="BO275" i="5"/>
  <c r="BP221" i="5"/>
  <c r="BO118" i="5"/>
  <c r="BO197" i="5"/>
  <c r="BP8" i="5"/>
  <c r="BP108" i="5"/>
  <c r="BP432" i="5"/>
  <c r="BP532" i="5"/>
  <c r="BP58" i="5"/>
  <c r="BJ365" i="5"/>
  <c r="BO365" i="5" s="1"/>
  <c r="BP208" i="5"/>
  <c r="BO548" i="5"/>
  <c r="AQ84" i="4"/>
  <c r="AC84" i="4"/>
  <c r="AD84" i="4" s="1"/>
  <c r="AP84" i="4"/>
  <c r="BO282" i="5"/>
  <c r="BP207" i="5"/>
  <c r="BO158" i="5"/>
  <c r="BP372" i="5"/>
  <c r="BP527" i="5"/>
  <c r="BO426" i="5"/>
  <c r="AQ121" i="4"/>
  <c r="AC121" i="4"/>
  <c r="AD121" i="4" s="1"/>
  <c r="AP121" i="4"/>
  <c r="BO86" i="5"/>
  <c r="BO274" i="5"/>
  <c r="BP63" i="5"/>
  <c r="BJ357" i="5"/>
  <c r="BO357" i="5" s="1"/>
  <c r="BP246" i="5"/>
  <c r="BP234" i="5"/>
  <c r="BO491" i="5"/>
  <c r="AC102" i="4"/>
  <c r="AD102" i="4" s="1"/>
  <c r="AU97" i="4"/>
  <c r="AW97" i="4" s="1"/>
  <c r="AU99" i="4"/>
  <c r="AW99" i="4" s="1"/>
  <c r="BJ395" i="5"/>
  <c r="BO395" i="5" s="1"/>
  <c r="BJ163" i="5"/>
  <c r="BO163" i="5" s="1"/>
  <c r="BK40" i="5"/>
  <c r="BP40" i="5" s="1"/>
  <c r="BK506" i="5"/>
  <c r="BP506" i="5" s="1"/>
  <c r="BK324" i="5"/>
  <c r="BP324" i="5" s="1"/>
  <c r="BK498" i="5"/>
  <c r="BP498" i="5" s="1"/>
  <c r="AU129" i="4"/>
  <c r="AW129" i="4" s="1"/>
  <c r="AU150" i="4"/>
  <c r="AW150" i="4" s="1"/>
  <c r="AU88" i="4"/>
  <c r="AW88" i="4" s="1"/>
  <c r="BK497" i="5"/>
  <c r="BP497" i="5" s="1"/>
  <c r="AU151" i="4"/>
  <c r="AW151" i="4" s="1"/>
  <c r="BJ475" i="5"/>
  <c r="BO475" i="5" s="1"/>
  <c r="BK273" i="5"/>
  <c r="BP273" i="5" s="1"/>
  <c r="BK209" i="5"/>
  <c r="BP209" i="5" s="1"/>
  <c r="AQ136" i="4"/>
  <c r="AP136" i="4"/>
  <c r="AC136" i="4"/>
  <c r="AD136" i="4" s="1"/>
  <c r="AC77" i="4"/>
  <c r="AD77" i="4" s="1"/>
  <c r="AQ77" i="4"/>
  <c r="AP77" i="4"/>
  <c r="BP115" i="5"/>
  <c r="BP47" i="5"/>
  <c r="BK548" i="5"/>
  <c r="BP548" i="5" s="1"/>
  <c r="BJ215" i="5"/>
  <c r="BO215" i="5" s="1"/>
  <c r="BK126" i="5"/>
  <c r="BP126" i="5" s="1"/>
  <c r="BO409" i="5"/>
  <c r="BO443" i="5"/>
  <c r="BP503" i="5"/>
  <c r="BP487" i="5"/>
  <c r="BP107" i="5"/>
  <c r="BK531" i="5"/>
  <c r="BP531" i="5" s="1"/>
  <c r="BP263" i="5"/>
  <c r="BO490" i="5"/>
  <c r="BO188" i="5"/>
  <c r="BP310" i="5"/>
  <c r="BO533" i="5"/>
  <c r="BP173" i="5"/>
  <c r="BO493" i="5"/>
  <c r="BP187" i="5"/>
  <c r="BP79" i="5"/>
  <c r="BP99" i="5"/>
  <c r="BP190" i="5"/>
  <c r="BP101" i="5"/>
  <c r="BP88" i="5"/>
  <c r="BO524" i="5"/>
  <c r="BO369" i="5"/>
  <c r="BP337" i="5"/>
  <c r="BP262" i="5"/>
  <c r="BO150" i="5"/>
  <c r="BP374" i="5"/>
  <c r="AC145" i="4"/>
  <c r="AD145" i="4" s="1"/>
  <c r="AQ145" i="4"/>
  <c r="AP145" i="4"/>
  <c r="BO64" i="5"/>
  <c r="BP24" i="5"/>
  <c r="BP402" i="5"/>
  <c r="BO174" i="5"/>
  <c r="BP91" i="5"/>
  <c r="BO151" i="5"/>
  <c r="BO28" i="5"/>
  <c r="BP157" i="5"/>
  <c r="BP166" i="5"/>
  <c r="BO169" i="5"/>
  <c r="BP509" i="5"/>
  <c r="BO459" i="5"/>
  <c r="BO219" i="5"/>
  <c r="BO249" i="5"/>
  <c r="BP504" i="5"/>
  <c r="BP69" i="5"/>
  <c r="BO407" i="5"/>
  <c r="BO252" i="5"/>
  <c r="BP270" i="5"/>
  <c r="BO440" i="5"/>
  <c r="BO61" i="5"/>
  <c r="BO336" i="5"/>
  <c r="BO342" i="5"/>
  <c r="AQ101" i="4"/>
  <c r="AC101" i="4"/>
  <c r="AD101" i="4" s="1"/>
  <c r="AP101" i="4"/>
  <c r="BP238" i="5"/>
  <c r="BP130" i="5"/>
  <c r="BO34" i="5"/>
  <c r="BO51" i="5"/>
  <c r="BJ220" i="5"/>
  <c r="BO220" i="5" s="1"/>
  <c r="BP399" i="5"/>
  <c r="BO474" i="5"/>
  <c r="BO526" i="5"/>
  <c r="BP13" i="5"/>
  <c r="BP389" i="5"/>
  <c r="BO410" i="5"/>
  <c r="BO332" i="5"/>
  <c r="BO290" i="5"/>
  <c r="BO178" i="5"/>
  <c r="BP222" i="5"/>
  <c r="BP194" i="5"/>
  <c r="AC122" i="4"/>
  <c r="AD122" i="4" s="1"/>
  <c r="AP122" i="4"/>
  <c r="AQ122" i="4"/>
  <c r="AC131" i="4"/>
  <c r="AD131" i="4" s="1"/>
  <c r="AQ131" i="4"/>
  <c r="AP131" i="4"/>
  <c r="BP109" i="5"/>
  <c r="BO424" i="5"/>
  <c r="BP34" i="5"/>
  <c r="BP539" i="5"/>
  <c r="BP544" i="5"/>
  <c r="BJ422" i="5"/>
  <c r="BO422" i="5" s="1"/>
  <c r="BO246" i="5"/>
  <c r="BP335" i="5"/>
  <c r="BK180" i="5"/>
  <c r="BP180" i="5" s="1"/>
  <c r="BP189" i="5"/>
  <c r="BO100" i="5"/>
  <c r="BP401" i="5"/>
  <c r="BO534" i="5"/>
  <c r="BP507" i="5"/>
  <c r="BO536" i="5"/>
  <c r="BO403" i="5"/>
  <c r="BO206" i="5"/>
  <c r="BO425" i="5"/>
  <c r="BP22" i="5"/>
  <c r="BP29" i="5"/>
  <c r="AQ60" i="4"/>
  <c r="AC60" i="4"/>
  <c r="AD60" i="4" s="1"/>
  <c r="AP60" i="4"/>
  <c r="AP80" i="4"/>
  <c r="AC80" i="4"/>
  <c r="AD80" i="4" s="1"/>
  <c r="AQ80" i="4"/>
  <c r="AQ75" i="4"/>
  <c r="AC75" i="4"/>
  <c r="AD75" i="4" s="1"/>
  <c r="AP75" i="4"/>
  <c r="AQ128" i="4"/>
  <c r="AC128" i="4"/>
  <c r="AD128" i="4" s="1"/>
  <c r="AP128" i="4"/>
  <c r="BO489" i="5"/>
  <c r="BO488" i="5"/>
  <c r="BJ208" i="5"/>
  <c r="BO208" i="5" s="1"/>
  <c r="BJ111" i="5"/>
  <c r="BO111" i="5" s="1"/>
  <c r="BO218" i="5"/>
  <c r="BP395" i="5"/>
  <c r="BP479" i="5"/>
  <c r="BJ43" i="5"/>
  <c r="BO43" i="5" s="1"/>
  <c r="BP537" i="5"/>
  <c r="BK203" i="5"/>
  <c r="BP203" i="5" s="1"/>
  <c r="BO538" i="5"/>
  <c r="BP95" i="5"/>
  <c r="BO473" i="5"/>
  <c r="BO528" i="5"/>
  <c r="BP159" i="5"/>
  <c r="BO353" i="5"/>
  <c r="BP502" i="5"/>
  <c r="BO179" i="5"/>
  <c r="BO557" i="5"/>
  <c r="BO553" i="5"/>
  <c r="BO155" i="5"/>
  <c r="BP148" i="5"/>
  <c r="BO285" i="5"/>
  <c r="BO299" i="5"/>
  <c r="BO552" i="5"/>
  <c r="BO59" i="5"/>
  <c r="BO230" i="5"/>
  <c r="BO21" i="5"/>
  <c r="AP58" i="4"/>
  <c r="AC58" i="4"/>
  <c r="AD58" i="4" s="1"/>
  <c r="AQ58" i="4"/>
  <c r="AQ138" i="4"/>
  <c r="AP138" i="4"/>
  <c r="AC138" i="4"/>
  <c r="AD138" i="4" s="1"/>
  <c r="AQ112" i="4"/>
  <c r="AP112" i="4"/>
  <c r="AC112" i="4"/>
  <c r="AD112" i="4" s="1"/>
  <c r="AP86" i="4"/>
  <c r="AC86" i="4"/>
  <c r="AD86" i="4" s="1"/>
  <c r="AQ86" i="4"/>
  <c r="BP66" i="5"/>
  <c r="BO84" i="5"/>
  <c r="BK421" i="5"/>
  <c r="BP421" i="5" s="1"/>
  <c r="BJ362" i="5"/>
  <c r="BO362" i="5" s="1"/>
  <c r="BJ269" i="5"/>
  <c r="BO269" i="5" s="1"/>
  <c r="BP9" i="5"/>
  <c r="BK260" i="5"/>
  <c r="BP260" i="5" s="1"/>
  <c r="BO177" i="5"/>
  <c r="BP463" i="5"/>
  <c r="BO340" i="5"/>
  <c r="BJ453" i="5"/>
  <c r="BO453" i="5" s="1"/>
  <c r="BO460" i="5"/>
  <c r="BO240" i="5"/>
  <c r="BP379" i="5"/>
  <c r="BP457" i="5"/>
  <c r="BP560" i="5"/>
  <c r="BP171" i="5"/>
  <c r="BP555" i="5"/>
  <c r="BP323" i="5"/>
  <c r="BO233" i="5"/>
  <c r="BP123" i="5"/>
  <c r="BP286" i="5"/>
  <c r="BO121" i="5"/>
  <c r="BP276" i="5"/>
  <c r="BO497" i="5"/>
  <c r="BO209" i="5"/>
  <c r="AC89" i="4"/>
  <c r="AD89" i="4" s="1"/>
  <c r="AQ89" i="4"/>
  <c r="AP89" i="4"/>
  <c r="AQ116" i="4"/>
  <c r="AC116" i="4"/>
  <c r="AD116" i="4" s="1"/>
  <c r="AP116" i="4"/>
  <c r="AC105" i="4"/>
  <c r="AD105" i="4" s="1"/>
  <c r="AQ105" i="4"/>
  <c r="AP105" i="4"/>
  <c r="BP485" i="5"/>
  <c r="BO484" i="5"/>
  <c r="BP149" i="5"/>
  <c r="BO254" i="5"/>
  <c r="BP521" i="5"/>
  <c r="BO176" i="5"/>
  <c r="BP397" i="5"/>
  <c r="AU135" i="4"/>
  <c r="AW135" i="4" s="1"/>
  <c r="BP247" i="5"/>
  <c r="BO283" i="5"/>
  <c r="BO223" i="5"/>
  <c r="BO417" i="5"/>
  <c r="BP322" i="5"/>
  <c r="BP375" i="5"/>
  <c r="BP48" i="5"/>
  <c r="BP228" i="5"/>
  <c r="BP196" i="5"/>
  <c r="BO280" i="5"/>
  <c r="BP513" i="5"/>
  <c r="BP482" i="5"/>
  <c r="BP486" i="5"/>
  <c r="BP261" i="5"/>
  <c r="BO318" i="5"/>
  <c r="AC113" i="4"/>
  <c r="AD113" i="4" s="1"/>
  <c r="AQ113" i="4"/>
  <c r="AP113" i="4"/>
  <c r="AC132" i="4"/>
  <c r="AD132" i="4" s="1"/>
  <c r="AQ132" i="4"/>
  <c r="AP132" i="4"/>
  <c r="AQ92" i="4"/>
  <c r="AP92" i="4"/>
  <c r="AC92" i="4"/>
  <c r="AD92" i="4" s="1"/>
  <c r="AQ114" i="4"/>
  <c r="AP114" i="4"/>
  <c r="AC114" i="4"/>
  <c r="AD114" i="4" s="1"/>
  <c r="AP127" i="4"/>
  <c r="AC127" i="4"/>
  <c r="AD127" i="4" s="1"/>
  <c r="AQ127" i="4"/>
  <c r="BK386" i="5"/>
  <c r="BP386" i="5" s="1"/>
  <c r="BJ125" i="5"/>
  <c r="BO125" i="5" s="1"/>
  <c r="BK230" i="5"/>
  <c r="BP230" i="5" s="1"/>
  <c r="BK21" i="5"/>
  <c r="BP21" i="5" s="1"/>
  <c r="BJ454" i="5"/>
  <c r="BO454" i="5" s="1"/>
  <c r="BJ297" i="5"/>
  <c r="BO297" i="5" s="1"/>
  <c r="BJ276" i="5"/>
  <c r="BO276" i="5" s="1"/>
  <c r="BK178" i="5"/>
  <c r="BP178" i="5" s="1"/>
  <c r="BK364" i="5"/>
  <c r="BP364" i="5" s="1"/>
  <c r="AU31" i="4"/>
  <c r="AW31" i="4" s="1"/>
  <c r="BK451" i="5"/>
  <c r="BP451" i="5" s="1"/>
  <c r="BK150" i="5"/>
  <c r="BP150" i="5" s="1"/>
  <c r="BK53" i="5"/>
  <c r="BP53" i="5" s="1"/>
  <c r="BJ262" i="5"/>
  <c r="BO262" i="5" s="1"/>
  <c r="BJ337" i="5"/>
  <c r="BO337" i="5" s="1"/>
  <c r="BJ412" i="5"/>
  <c r="BO412" i="5" s="1"/>
  <c r="BJ101" i="5"/>
  <c r="BO101" i="5" s="1"/>
  <c r="BJ382" i="5"/>
  <c r="BO382" i="5" s="1"/>
  <c r="BK455" i="5"/>
  <c r="BP455" i="5" s="1"/>
  <c r="BK290" i="5"/>
  <c r="BP290" i="5" s="1"/>
  <c r="BJ555" i="5"/>
  <c r="BO555" i="5" s="1"/>
  <c r="BJ132" i="5"/>
  <c r="BO132" i="5" s="1"/>
  <c r="BJ231" i="5"/>
  <c r="BO231" i="5" s="1"/>
  <c r="BK536" i="5"/>
  <c r="BP536" i="5" s="1"/>
  <c r="BK100" i="5"/>
  <c r="BP100" i="5" s="1"/>
  <c r="AU28" i="4"/>
  <c r="AW28" i="4" s="1"/>
  <c r="BJ29" i="5"/>
  <c r="BO29" i="5" s="1"/>
  <c r="BJ22" i="5"/>
  <c r="BO22" i="5" s="1"/>
  <c r="BK57" i="5"/>
  <c r="BP57" i="5" s="1"/>
  <c r="BK329" i="5"/>
  <c r="BP329" i="5" s="1"/>
  <c r="BK83" i="5"/>
  <c r="BP83" i="5" s="1"/>
  <c r="BJ511" i="5"/>
  <c r="BO511" i="5" s="1"/>
  <c r="BJ452" i="5"/>
  <c r="BO452" i="5" s="1"/>
  <c r="BK56" i="5"/>
  <c r="BP56" i="5" s="1"/>
  <c r="BK239" i="5"/>
  <c r="BP239" i="5" s="1"/>
  <c r="BK118" i="5"/>
  <c r="BP118" i="5" s="1"/>
  <c r="BK277" i="5"/>
  <c r="BP277" i="5" s="1"/>
  <c r="BK205" i="5"/>
  <c r="BP205" i="5" s="1"/>
  <c r="BJ23" i="5"/>
  <c r="BO23" i="5" s="1"/>
  <c r="BJ104" i="5"/>
  <c r="BO104" i="5" s="1"/>
  <c r="BK93" i="5"/>
  <c r="BP93" i="5" s="1"/>
  <c r="BJ278" i="5"/>
  <c r="BO278" i="5" s="1"/>
  <c r="BJ286" i="5"/>
  <c r="BO286" i="5" s="1"/>
  <c r="BK155" i="5"/>
  <c r="BP155" i="5" s="1"/>
  <c r="BK121" i="5"/>
  <c r="BP121" i="5" s="1"/>
  <c r="BK285" i="5"/>
  <c r="BP285" i="5" s="1"/>
  <c r="BJ502" i="5"/>
  <c r="BO502" i="5" s="1"/>
  <c r="BK415" i="5"/>
  <c r="BP415" i="5" s="1"/>
  <c r="BK553" i="5"/>
  <c r="BP553" i="5" s="1"/>
  <c r="BJ529" i="5"/>
  <c r="BO529" i="5" s="1"/>
  <c r="BK318" i="5"/>
  <c r="BP318" i="5" s="1"/>
  <c r="BJ486" i="5"/>
  <c r="BO486" i="5" s="1"/>
  <c r="BJ261" i="5"/>
  <c r="BO261" i="5" s="1"/>
  <c r="BJ481" i="5"/>
  <c r="BO481" i="5" s="1"/>
  <c r="BJ322" i="5"/>
  <c r="BO322" i="5" s="1"/>
  <c r="BJ200" i="5"/>
  <c r="BO200" i="5" s="1"/>
  <c r="BJ69" i="5"/>
  <c r="BO69" i="5" s="1"/>
  <c r="BK342" i="5"/>
  <c r="BP342" i="5" s="1"/>
  <c r="BK440" i="5"/>
  <c r="BP440" i="5" s="1"/>
  <c r="BK301" i="5"/>
  <c r="BP301" i="5" s="1"/>
  <c r="BJ190" i="5"/>
  <c r="BO190" i="5" s="1"/>
  <c r="BJ187" i="5"/>
  <c r="BO187" i="5" s="1"/>
  <c r="BK156" i="5"/>
  <c r="BP156" i="5" s="1"/>
  <c r="BJ186" i="5"/>
  <c r="BO186" i="5" s="1"/>
  <c r="BJ79" i="5"/>
  <c r="BO79" i="5" s="1"/>
  <c r="BJ202" i="5"/>
  <c r="BO202" i="5" s="1"/>
  <c r="BK255" i="5"/>
  <c r="BP255" i="5" s="1"/>
  <c r="BK533" i="5"/>
  <c r="BP533" i="5" s="1"/>
  <c r="BK524" i="5"/>
  <c r="BP524" i="5" s="1"/>
  <c r="BK376" i="5"/>
  <c r="BP376" i="5" s="1"/>
  <c r="BK493" i="5"/>
  <c r="BP493" i="5" s="1"/>
  <c r="BK369" i="5"/>
  <c r="BP369" i="5" s="1"/>
  <c r="BJ99" i="5"/>
  <c r="BO99" i="5" s="1"/>
  <c r="BJ88" i="5"/>
  <c r="BO88" i="5" s="1"/>
  <c r="BK380" i="5"/>
  <c r="BP380" i="5" s="1"/>
  <c r="BK523" i="5"/>
  <c r="BP523" i="5" s="1"/>
  <c r="BJ540" i="5"/>
  <c r="BO540" i="5" s="1"/>
  <c r="BK552" i="5"/>
  <c r="BP552" i="5" s="1"/>
  <c r="BK59" i="5"/>
  <c r="BP59" i="5" s="1"/>
  <c r="BK185" i="5"/>
  <c r="BP185" i="5" s="1"/>
  <c r="BJ148" i="5"/>
  <c r="BO148" i="5" s="1"/>
  <c r="BK473" i="5"/>
  <c r="BP473" i="5" s="1"/>
  <c r="BJ33" i="5"/>
  <c r="BO33" i="5" s="1"/>
  <c r="BK179" i="5"/>
  <c r="BP179" i="5" s="1"/>
  <c r="BK236" i="5"/>
  <c r="BP236" i="5" s="1"/>
  <c r="BJ212" i="5"/>
  <c r="BO212" i="5" s="1"/>
  <c r="BK299" i="5"/>
  <c r="BP299" i="5" s="1"/>
  <c r="BK404" i="5"/>
  <c r="BP404" i="5" s="1"/>
  <c r="BK353" i="5"/>
  <c r="BP353" i="5" s="1"/>
  <c r="BJ112" i="5"/>
  <c r="BO112" i="5" s="1"/>
  <c r="BK557" i="5"/>
  <c r="BP557" i="5" s="1"/>
  <c r="BK87" i="5"/>
  <c r="BP87" i="5" s="1"/>
  <c r="BK154" i="5"/>
  <c r="BP154" i="5" s="1"/>
  <c r="BJ181" i="5"/>
  <c r="BO181" i="5" s="1"/>
  <c r="BK65" i="5"/>
  <c r="BP65" i="5" s="1"/>
  <c r="BK366" i="5"/>
  <c r="BP366" i="5" s="1"/>
  <c r="BK534" i="5"/>
  <c r="BP534" i="5" s="1"/>
  <c r="BK431" i="5"/>
  <c r="BP431" i="5" s="1"/>
  <c r="BK425" i="5"/>
  <c r="BP425" i="5" s="1"/>
  <c r="BK470" i="5"/>
  <c r="BP470" i="5" s="1"/>
  <c r="BK206" i="5"/>
  <c r="BP206" i="5" s="1"/>
  <c r="BJ507" i="5"/>
  <c r="BO507" i="5" s="1"/>
  <c r="BJ401" i="5"/>
  <c r="BO401" i="5" s="1"/>
  <c r="BK403" i="5"/>
  <c r="BP403" i="5" s="1"/>
  <c r="BJ76" i="5"/>
  <c r="BO76" i="5" s="1"/>
  <c r="BJ184" i="5"/>
  <c r="BO184" i="5" s="1"/>
  <c r="BJ334" i="5"/>
  <c r="BO334" i="5" s="1"/>
  <c r="BJ375" i="5"/>
  <c r="BO375" i="5" s="1"/>
  <c r="BJ321" i="5"/>
  <c r="BO321" i="5" s="1"/>
  <c r="BJ377" i="5"/>
  <c r="BO377" i="5" s="1"/>
  <c r="BJ32" i="5"/>
  <c r="BO32" i="5" s="1"/>
  <c r="BK61" i="5"/>
  <c r="BP61" i="5" s="1"/>
  <c r="BK314" i="5"/>
  <c r="BP314" i="5" s="1"/>
  <c r="BK510" i="5"/>
  <c r="BP510" i="5" s="1"/>
  <c r="BJ406" i="5"/>
  <c r="BO406" i="5" s="1"/>
  <c r="BK352" i="5"/>
  <c r="BP352" i="5" s="1"/>
  <c r="BJ504" i="5"/>
  <c r="BO504" i="5" s="1"/>
  <c r="BJ445" i="5"/>
  <c r="BO445" i="5" s="1"/>
  <c r="BJ94" i="5"/>
  <c r="BO94" i="5" s="1"/>
  <c r="BJ157" i="5"/>
  <c r="BO157" i="5" s="1"/>
  <c r="BK459" i="5"/>
  <c r="BP459" i="5" s="1"/>
  <c r="BK252" i="5"/>
  <c r="BP252" i="5" s="1"/>
  <c r="BK332" i="5"/>
  <c r="BP332" i="5" s="1"/>
  <c r="BK410" i="5"/>
  <c r="BP410" i="5" s="1"/>
  <c r="BJ110" i="5"/>
  <c r="BO110" i="5" s="1"/>
  <c r="BK169" i="5"/>
  <c r="BP169" i="5" s="1"/>
  <c r="BK62" i="5"/>
  <c r="BP62" i="5" s="1"/>
  <c r="BK407" i="5"/>
  <c r="BP407" i="5" s="1"/>
  <c r="BJ308" i="5"/>
  <c r="BO308" i="5" s="1"/>
  <c r="BJ204" i="5"/>
  <c r="BO204" i="5" s="1"/>
  <c r="BJ270" i="5"/>
  <c r="BO270" i="5" s="1"/>
  <c r="BJ25" i="5"/>
  <c r="BO25" i="5" s="1"/>
  <c r="BK474" i="5"/>
  <c r="BP474" i="5" s="1"/>
  <c r="BJ389" i="5"/>
  <c r="BO389" i="5" s="1"/>
  <c r="BK242" i="5"/>
  <c r="BP242" i="5" s="1"/>
  <c r="BJ509" i="5"/>
  <c r="BO509" i="5" s="1"/>
  <c r="BK312" i="5"/>
  <c r="BP312" i="5" s="1"/>
  <c r="BJ550" i="5"/>
  <c r="BO550" i="5" s="1"/>
  <c r="BJ166" i="5"/>
  <c r="BO166" i="5" s="1"/>
  <c r="BK28" i="5"/>
  <c r="BP28" i="5" s="1"/>
  <c r="BK249" i="5"/>
  <c r="BP249" i="5" s="1"/>
  <c r="BJ211" i="5"/>
  <c r="BO211" i="5" s="1"/>
  <c r="BK526" i="5"/>
  <c r="BP526" i="5" s="1"/>
  <c r="BJ307" i="5"/>
  <c r="BO307" i="5" s="1"/>
  <c r="BJ279" i="5"/>
  <c r="BO279" i="5" s="1"/>
  <c r="BK143" i="5"/>
  <c r="BP143" i="5" s="1"/>
  <c r="BK129" i="5"/>
  <c r="BP129" i="5" s="1"/>
  <c r="BJ13" i="5"/>
  <c r="BO13" i="5" s="1"/>
  <c r="BJ543" i="5"/>
  <c r="BO543" i="5" s="1"/>
  <c r="BJ272" i="5"/>
  <c r="BO272" i="5" s="1"/>
  <c r="BJ289" i="5"/>
  <c r="BO289" i="5" s="1"/>
  <c r="BJ438" i="5"/>
  <c r="BO438" i="5" s="1"/>
  <c r="BK476" i="5"/>
  <c r="BP476" i="5" s="1"/>
  <c r="BK233" i="5"/>
  <c r="BP233" i="5" s="1"/>
  <c r="BK292" i="5"/>
  <c r="BP292" i="5" s="1"/>
  <c r="BJ323" i="5"/>
  <c r="BO323" i="5" s="1"/>
  <c r="BJ123" i="5"/>
  <c r="BO123" i="5" s="1"/>
  <c r="BK77" i="5"/>
  <c r="BP77" i="5" s="1"/>
  <c r="BJ196" i="5"/>
  <c r="BO196" i="5" s="1"/>
  <c r="BK280" i="5"/>
  <c r="BP280" i="5" s="1"/>
  <c r="BJ333" i="5"/>
  <c r="BO333" i="5" s="1"/>
  <c r="BJ482" i="5"/>
  <c r="BO482" i="5" s="1"/>
  <c r="BJ513" i="5"/>
  <c r="BO513" i="5" s="1"/>
  <c r="BK264" i="5"/>
  <c r="BP264" i="5" s="1"/>
  <c r="AP13" i="4"/>
  <c r="BK426" i="5"/>
  <c r="BP426" i="5" s="1"/>
  <c r="BJ527" i="5"/>
  <c r="BO527" i="5" s="1"/>
  <c r="AC13" i="4"/>
  <c r="AD13" i="4" s="1"/>
  <c r="BK271" i="5"/>
  <c r="BP271" i="5" s="1"/>
  <c r="BJ228" i="5"/>
  <c r="BO228" i="5" s="1"/>
  <c r="BK96" i="5"/>
  <c r="BP96" i="5" s="1"/>
  <c r="BJ351" i="5"/>
  <c r="BO351" i="5" s="1"/>
  <c r="BJ48" i="5"/>
  <c r="BO48" i="5" s="1"/>
  <c r="BK417" i="5"/>
  <c r="BP417" i="5" s="1"/>
  <c r="BJ234" i="5"/>
  <c r="BO234" i="5" s="1"/>
  <c r="AU46" i="4"/>
  <c r="AW46" i="4" s="1"/>
  <c r="BJ265" i="5"/>
  <c r="BO265" i="5" s="1"/>
  <c r="BJ399" i="5"/>
  <c r="BO399" i="5" s="1"/>
  <c r="BK461" i="5"/>
  <c r="BP461" i="5" s="1"/>
  <c r="BJ442" i="5"/>
  <c r="BO442" i="5" s="1"/>
  <c r="AU32" i="4"/>
  <c r="AW32" i="4" s="1"/>
  <c r="BO224" i="5"/>
  <c r="BO498" i="5"/>
  <c r="BP199" i="5"/>
  <c r="BP495" i="5"/>
  <c r="BP282" i="5"/>
  <c r="BO522" i="5"/>
  <c r="BP94" i="5"/>
  <c r="BO352" i="5"/>
  <c r="BP320" i="5"/>
  <c r="BO415" i="5"/>
  <c r="BO106" i="5"/>
  <c r="BO281" i="5"/>
  <c r="BO384" i="5"/>
  <c r="BO455" i="5"/>
  <c r="BO273" i="5"/>
  <c r="BP520" i="5"/>
  <c r="BO264" i="5"/>
  <c r="BP406" i="5"/>
  <c r="BO327" i="5"/>
  <c r="BP168" i="5"/>
  <c r="BP505" i="5"/>
  <c r="BP456" i="5"/>
  <c r="BP23" i="5"/>
  <c r="BO386" i="5"/>
  <c r="BO370" i="5"/>
  <c r="BO77" i="5"/>
  <c r="BP33" i="5"/>
  <c r="BO65" i="5"/>
  <c r="BJ391" i="5"/>
  <c r="BO391" i="5" s="1"/>
  <c r="BK391" i="5"/>
  <c r="BP391" i="5" s="1"/>
  <c r="BO287" i="5"/>
  <c r="BP365" i="5"/>
  <c r="BP359" i="5"/>
  <c r="BO156" i="5"/>
  <c r="BP128" i="5"/>
  <c r="BP392" i="5"/>
  <c r="BO55" i="5"/>
  <c r="BO326" i="5"/>
  <c r="BP161" i="5"/>
  <c r="BO404" i="5"/>
  <c r="BO93" i="5"/>
  <c r="BO470" i="5"/>
  <c r="BP188" i="5"/>
  <c r="BP454" i="5"/>
  <c r="BO154" i="5"/>
  <c r="BP293" i="5"/>
  <c r="BO53" i="5"/>
  <c r="BO467" i="5"/>
  <c r="BP35" i="5"/>
  <c r="BP248" i="5"/>
  <c r="BP297" i="5"/>
  <c r="BP110" i="5"/>
  <c r="BP202" i="5"/>
  <c r="BP529" i="5"/>
  <c r="BO506" i="5"/>
  <c r="BO56" i="5"/>
  <c r="BO114" i="5"/>
  <c r="BP496" i="5"/>
  <c r="BP460" i="5"/>
  <c r="BP467" i="5"/>
  <c r="BP355" i="5"/>
  <c r="BP70" i="5"/>
  <c r="AQ54" i="4"/>
  <c r="AC54" i="4"/>
  <c r="AD54" i="4" s="1"/>
  <c r="AP54" i="4"/>
  <c r="AC50" i="4"/>
  <c r="AD50" i="4" s="1"/>
  <c r="AQ50" i="4"/>
  <c r="AP50" i="4"/>
  <c r="BP387" i="5"/>
  <c r="BP226" i="5"/>
  <c r="BP41" i="5"/>
  <c r="BP68" i="5"/>
  <c r="BP71" i="5"/>
  <c r="BO349" i="5"/>
  <c r="BP78" i="5"/>
  <c r="BP522" i="5"/>
  <c r="BP112" i="5"/>
  <c r="BO267" i="5"/>
  <c r="BP483" i="5"/>
  <c r="BP114" i="5"/>
  <c r="BO309" i="5"/>
  <c r="BP211" i="5"/>
  <c r="BO36" i="5"/>
  <c r="BO518" i="5"/>
  <c r="BO516" i="5"/>
  <c r="BP383" i="5"/>
  <c r="BO103" i="5"/>
  <c r="BP307" i="5"/>
  <c r="BO24" i="5"/>
  <c r="BO477" i="5"/>
  <c r="BO172" i="5"/>
  <c r="BP373" i="5"/>
  <c r="BO439" i="5"/>
  <c r="BO449" i="5"/>
  <c r="BP361" i="5"/>
  <c r="BP279" i="5"/>
  <c r="BO96" i="5"/>
  <c r="BO547" i="5"/>
  <c r="BP80" i="5"/>
  <c r="BP25" i="5"/>
  <c r="BO229" i="5"/>
  <c r="BP438" i="5"/>
  <c r="BO466" i="5"/>
  <c r="BP76" i="5"/>
  <c r="BO523" i="5"/>
  <c r="BP511" i="5"/>
  <c r="BO182" i="5"/>
  <c r="BO328" i="5"/>
  <c r="BP227" i="5"/>
  <c r="BP104" i="5"/>
  <c r="BP538" i="5"/>
  <c r="BP333" i="5"/>
  <c r="BO292" i="5"/>
  <c r="BO385" i="5"/>
  <c r="BO74" i="5"/>
  <c r="BP419" i="5"/>
  <c r="BO92" i="5"/>
  <c r="BO368" i="5"/>
  <c r="BO41" i="5"/>
  <c r="BO160" i="5"/>
  <c r="BO541" i="5"/>
  <c r="BO242" i="5"/>
  <c r="BO78" i="5"/>
  <c r="BO314" i="5"/>
  <c r="BP478" i="5"/>
  <c r="BP231" i="5"/>
  <c r="BO356" i="5"/>
  <c r="BO191" i="5"/>
  <c r="BO366" i="5"/>
  <c r="BP42" i="5"/>
  <c r="BO383" i="5"/>
  <c r="BP216" i="5"/>
  <c r="BP103" i="5"/>
  <c r="BO346" i="5"/>
  <c r="BP75" i="5"/>
  <c r="BP477" i="5"/>
  <c r="BP172" i="5"/>
  <c r="BP265" i="5"/>
  <c r="BP549" i="5"/>
  <c r="BO312" i="5"/>
  <c r="BP439" i="5"/>
  <c r="BP449" i="5"/>
  <c r="BO380" i="5"/>
  <c r="BP357" i="5"/>
  <c r="BP360" i="5"/>
  <c r="BP347" i="5"/>
  <c r="BO348" i="5"/>
  <c r="BP304" i="5"/>
  <c r="BP420" i="5"/>
  <c r="BO205" i="5"/>
  <c r="BP212" i="5"/>
  <c r="BP72" i="5"/>
  <c r="BP398" i="5"/>
  <c r="BO162" i="5"/>
  <c r="BP492" i="5"/>
  <c r="BP434" i="5"/>
  <c r="BP339" i="5"/>
  <c r="BO435" i="5"/>
  <c r="BP153" i="5"/>
  <c r="BP430" i="5"/>
  <c r="BO255" i="5"/>
  <c r="BP225" i="5"/>
  <c r="BO447" i="5"/>
  <c r="BO306" i="5"/>
  <c r="BO376" i="5"/>
  <c r="BP348" i="5"/>
  <c r="BO236" i="5"/>
  <c r="BO329" i="5"/>
  <c r="BP43" i="5"/>
  <c r="BP152" i="5"/>
  <c r="BP445" i="5"/>
  <c r="BO398" i="5"/>
  <c r="BP540" i="5"/>
  <c r="BJ355" i="5"/>
  <c r="BO355" i="5" s="1"/>
  <c r="BO414" i="5"/>
  <c r="BO434" i="5"/>
  <c r="BP213" i="5"/>
  <c r="BP416" i="5"/>
  <c r="BP377" i="5"/>
  <c r="BO325" i="5"/>
  <c r="BO510" i="5"/>
  <c r="BP294" i="5"/>
  <c r="BP494" i="5"/>
  <c r="BO480" i="5"/>
  <c r="BP183" i="5"/>
  <c r="BO141" i="5"/>
  <c r="BO134" i="5"/>
  <c r="BO301" i="5"/>
  <c r="BP60" i="5"/>
  <c r="BO530" i="5"/>
  <c r="BO303" i="5"/>
  <c r="BP135" i="5"/>
  <c r="BP45" i="5"/>
  <c r="BO519" i="5"/>
  <c r="BO341" i="5"/>
  <c r="BO476" i="5"/>
  <c r="BO147" i="5"/>
  <c r="BO82" i="5"/>
  <c r="BP351" i="5"/>
  <c r="BO364" i="5"/>
  <c r="BP411" i="5"/>
  <c r="BP330" i="5"/>
  <c r="BP181" i="5"/>
  <c r="BP132" i="5"/>
  <c r="BO505" i="5"/>
  <c r="BP393" i="5"/>
  <c r="BO167" i="5"/>
  <c r="BO551" i="5"/>
  <c r="BO122" i="5"/>
  <c r="BO381" i="5"/>
  <c r="BO517" i="5"/>
  <c r="BO462" i="5"/>
  <c r="BO143" i="5"/>
  <c r="BO129" i="5"/>
  <c r="BP412" i="5"/>
  <c r="BP20" i="5"/>
  <c r="BP550" i="5"/>
  <c r="BO142" i="5"/>
  <c r="BP140" i="5"/>
  <c r="BP85" i="5"/>
  <c r="BO558" i="5"/>
  <c r="BP31" i="5"/>
  <c r="BO81" i="5"/>
  <c r="BO277" i="5"/>
  <c r="BP334" i="5"/>
  <c r="BO87" i="5"/>
  <c r="BO472" i="5"/>
  <c r="BO27" i="5"/>
  <c r="BP46" i="5"/>
  <c r="BP543" i="5"/>
  <c r="BO203" i="5"/>
  <c r="BP344" i="5"/>
  <c r="BO396" i="5"/>
  <c r="BP195" i="5"/>
  <c r="BP175" i="5"/>
  <c r="BO405" i="5"/>
  <c r="BP272" i="5"/>
  <c r="BP481" i="5"/>
  <c r="BO45" i="5"/>
  <c r="BP519" i="5"/>
  <c r="BP288" i="5"/>
  <c r="BO126" i="5"/>
  <c r="BP436" i="5"/>
  <c r="BO117" i="5"/>
  <c r="BO411" i="5"/>
  <c r="BP452" i="5"/>
  <c r="BP382" i="5"/>
  <c r="BO515" i="5"/>
  <c r="BO444" i="5"/>
  <c r="BO330" i="5"/>
  <c r="BO57" i="5"/>
  <c r="BO244" i="5"/>
  <c r="BP423" i="5"/>
  <c r="BO545" i="5"/>
  <c r="BP122" i="5"/>
  <c r="BO210" i="5"/>
  <c r="BO20" i="5"/>
  <c r="BP321" i="5"/>
  <c r="BO402" i="5"/>
  <c r="BO257" i="5"/>
  <c r="BP535" i="5"/>
  <c r="BO31" i="5"/>
  <c r="BP125" i="5"/>
  <c r="BP472" i="5"/>
  <c r="BO185" i="5"/>
  <c r="BP27" i="5"/>
  <c r="BO46" i="5"/>
  <c r="BO170" i="5"/>
  <c r="BP471" i="5"/>
  <c r="BO180" i="5"/>
  <c r="BP186" i="5"/>
  <c r="BP396" i="5"/>
  <c r="BO458" i="5"/>
  <c r="BP475" i="5"/>
  <c r="BP193" i="5"/>
  <c r="BP308" i="5"/>
  <c r="BP12" i="5"/>
  <c r="BO559" i="5"/>
  <c r="BO133" i="5"/>
  <c r="BP442" i="5"/>
  <c r="BP200" i="5"/>
  <c r="BP319" i="5"/>
  <c r="BO461" i="5"/>
  <c r="BO8" i="5"/>
  <c r="BP259" i="5"/>
  <c r="BO408" i="5"/>
  <c r="BP409" i="5"/>
  <c r="BO432" i="5"/>
  <c r="BO130" i="5"/>
  <c r="BO298" i="5"/>
  <c r="BP278" i="5"/>
  <c r="BO271" i="5"/>
  <c r="BO83" i="5"/>
  <c r="BO311" i="5"/>
  <c r="BO116" i="5"/>
  <c r="BO423" i="5"/>
  <c r="BP204" i="5"/>
  <c r="BO431" i="5"/>
  <c r="BP525" i="5"/>
  <c r="BP32" i="5"/>
  <c r="BO531" i="5"/>
  <c r="BP508" i="5"/>
  <c r="BP210" i="5"/>
  <c r="BP305" i="5"/>
  <c r="BO451" i="5"/>
  <c r="BP295" i="5"/>
  <c r="BP289" i="5"/>
  <c r="BO62" i="5"/>
  <c r="BO58" i="5"/>
  <c r="BP89" i="5"/>
  <c r="BP446" i="5"/>
  <c r="BO253" i="5"/>
  <c r="BO50" i="5"/>
  <c r="BP490" i="5"/>
  <c r="BP136" i="5"/>
  <c r="BP184" i="5"/>
  <c r="BO296" i="5"/>
  <c r="BO198" i="5"/>
  <c r="BP220" i="5"/>
  <c r="BP266" i="5"/>
  <c r="BO315" i="5"/>
  <c r="BO146" i="5"/>
  <c r="BP124" i="5"/>
  <c r="BP243" i="5"/>
  <c r="BP119" i="5"/>
  <c r="BP388" i="5"/>
  <c r="BO358" i="5"/>
  <c r="BP102" i="5"/>
  <c r="AP44" i="4"/>
  <c r="AQ44" i="4"/>
  <c r="AC44" i="4"/>
  <c r="AD44" i="4" s="1"/>
  <c r="BJ70" i="5"/>
  <c r="BO70" i="5" s="1"/>
  <c r="BJ189" i="5"/>
  <c r="BO189" i="5" s="1"/>
  <c r="BJ171" i="5"/>
  <c r="BO171" i="5" s="1"/>
  <c r="BK223" i="5"/>
  <c r="BP223" i="5" s="1"/>
  <c r="BJ560" i="5"/>
  <c r="BO560" i="5" s="1"/>
  <c r="BK283" i="5"/>
  <c r="BP283" i="5" s="1"/>
  <c r="BK146" i="5"/>
  <c r="BP146" i="5" s="1"/>
  <c r="BJ388" i="5"/>
  <c r="BO388" i="5" s="1"/>
  <c r="BJ102" i="5"/>
  <c r="BO102" i="5" s="1"/>
  <c r="BK358" i="5"/>
  <c r="BP358" i="5" s="1"/>
  <c r="BJ243" i="5"/>
  <c r="BO243" i="5" s="1"/>
  <c r="BK134" i="5"/>
  <c r="BP134" i="5" s="1"/>
  <c r="BJ195" i="5"/>
  <c r="BO195" i="5" s="1"/>
  <c r="BJ173" i="5"/>
  <c r="BO173" i="5" s="1"/>
  <c r="BK303" i="5"/>
  <c r="BP303" i="5" s="1"/>
  <c r="BJ60" i="5"/>
  <c r="BO60" i="5" s="1"/>
  <c r="BK141" i="5"/>
  <c r="BP141" i="5" s="1"/>
  <c r="BK480" i="5"/>
  <c r="BP480" i="5" s="1"/>
  <c r="BJ135" i="5"/>
  <c r="BO135" i="5" s="1"/>
  <c r="BJ183" i="5"/>
  <c r="BO183" i="5" s="1"/>
  <c r="BK530" i="5"/>
  <c r="BP530" i="5" s="1"/>
  <c r="BK528" i="5"/>
  <c r="BP528" i="5" s="1"/>
  <c r="BJ159" i="5"/>
  <c r="BO159" i="5" s="1"/>
  <c r="BJ457" i="5"/>
  <c r="BO457" i="5" s="1"/>
  <c r="BK287" i="5"/>
  <c r="BP287" i="5" s="1"/>
  <c r="AQ39" i="4"/>
  <c r="AC39" i="4"/>
  <c r="AD39" i="4" s="1"/>
  <c r="AP39" i="4"/>
  <c r="AQ36" i="4"/>
  <c r="AC36" i="4"/>
  <c r="AD36" i="4" s="1"/>
  <c r="AP36" i="4"/>
  <c r="BJ124" i="5"/>
  <c r="BO124" i="5" s="1"/>
  <c r="AQ35" i="4"/>
  <c r="AP35" i="4"/>
  <c r="AC35" i="4"/>
  <c r="AD35" i="4" s="1"/>
  <c r="BJ119" i="5"/>
  <c r="BO119" i="5" s="1"/>
  <c r="BK370" i="5"/>
  <c r="BP370" i="5" s="1"/>
  <c r="BK315" i="5"/>
  <c r="BP315" i="5" s="1"/>
  <c r="BJ175" i="5"/>
  <c r="BO175" i="5" s="1"/>
  <c r="BJ10" i="5"/>
  <c r="BO10" i="5" s="1"/>
  <c r="BK405" i="5"/>
  <c r="BP405" i="5" s="1"/>
  <c r="AU30" i="4"/>
  <c r="AW30" i="4" s="1"/>
  <c r="BJ12" i="5"/>
  <c r="BO12" i="5" s="1"/>
  <c r="BK133" i="5"/>
  <c r="BP133" i="5" s="1"/>
  <c r="BK559" i="5"/>
  <c r="BP559" i="5" s="1"/>
  <c r="BJ266" i="5"/>
  <c r="BO266" i="5" s="1"/>
  <c r="BK92" i="5"/>
  <c r="BP92" i="5" s="1"/>
  <c r="BK325" i="5"/>
  <c r="BP325" i="5" s="1"/>
  <c r="BK435" i="5"/>
  <c r="BP435" i="5" s="1"/>
  <c r="AP14" i="4"/>
  <c r="BJ294" i="5"/>
  <c r="BO294" i="5" s="1"/>
  <c r="BJ225" i="5"/>
  <c r="BO225" i="5" s="1"/>
  <c r="BJ430" i="5"/>
  <c r="BO430" i="5" s="1"/>
  <c r="BJ397" i="5"/>
  <c r="BO397" i="5" s="1"/>
  <c r="BJ153" i="5"/>
  <c r="BO153" i="5" s="1"/>
  <c r="AC14" i="4"/>
  <c r="AD14" i="4" s="1"/>
  <c r="BJ392" i="5"/>
  <c r="BO392" i="5" s="1"/>
  <c r="BK74" i="5"/>
  <c r="BP74" i="5" s="1"/>
  <c r="BJ247" i="5"/>
  <c r="BO247" i="5" s="1"/>
  <c r="BI11" i="5"/>
  <c r="BK11" i="5" s="1"/>
  <c r="BJ494" i="5"/>
  <c r="BO494" i="5" s="1"/>
  <c r="BK151" i="5"/>
  <c r="BP151" i="5" s="1"/>
  <c r="BJ419" i="5"/>
  <c r="BO419" i="5" s="1"/>
  <c r="AP9" i="4"/>
  <c r="AC9" i="4"/>
  <c r="AD9" i="4" s="1"/>
  <c r="AQ9" i="4"/>
  <c r="AH11" i="5"/>
  <c r="AP15" i="4"/>
  <c r="AC15" i="4"/>
  <c r="AD15" i="4" s="1"/>
  <c r="AQ15" i="4"/>
  <c r="AP29" i="4"/>
  <c r="AQ29" i="4"/>
  <c r="AC29" i="4"/>
  <c r="AD29" i="4" s="1"/>
  <c r="AQ27" i="4"/>
  <c r="AC27" i="4"/>
  <c r="AD27" i="4" s="1"/>
  <c r="AP27" i="4"/>
  <c r="AC23" i="4"/>
  <c r="AD23" i="4" s="1"/>
  <c r="AP23" i="4"/>
  <c r="AQ23" i="4"/>
  <c r="AC18" i="4"/>
  <c r="AD18" i="4" s="1"/>
  <c r="AQ18" i="4"/>
  <c r="AP18" i="4"/>
  <c r="AQ16" i="4"/>
  <c r="AC16" i="4"/>
  <c r="AD16" i="4" s="1"/>
  <c r="AP16" i="4"/>
  <c r="AC22" i="4"/>
  <c r="AD22" i="4" s="1"/>
  <c r="AQ22" i="4"/>
  <c r="AP22" i="4"/>
  <c r="AU11" i="5"/>
  <c r="AT11" i="5"/>
  <c r="BL11" i="5"/>
  <c r="AC21" i="4"/>
  <c r="AD21" i="4" s="1"/>
  <c r="AQ21" i="4"/>
  <c r="AP21" i="4"/>
  <c r="BG11" i="5"/>
  <c r="BH11" i="5"/>
  <c r="AU56" i="4" l="1"/>
  <c r="AW56" i="4" s="1"/>
  <c r="AP10" i="4"/>
  <c r="AQ12" i="4"/>
  <c r="AU38" i="4"/>
  <c r="AW38" i="4" s="1"/>
  <c r="AU64" i="4"/>
  <c r="AW64" i="4" s="1"/>
  <c r="AC10" i="4"/>
  <c r="AD10" i="4" s="1"/>
  <c r="AC12" i="4"/>
  <c r="AD12" i="4" s="1"/>
  <c r="AU47" i="4"/>
  <c r="AW47" i="4" s="1"/>
  <c r="AQ8" i="4"/>
  <c r="AP8" i="4"/>
  <c r="AC7" i="4"/>
  <c r="AD7" i="4" s="1"/>
  <c r="AQ7" i="4"/>
  <c r="AU107" i="4"/>
  <c r="AW107" i="4" s="1"/>
  <c r="AU123" i="4"/>
  <c r="AW123" i="4" s="1"/>
  <c r="AP20" i="4"/>
  <c r="AU48" i="4"/>
  <c r="AW48" i="4" s="1"/>
  <c r="AU34" i="4"/>
  <c r="AW34" i="4" s="1"/>
  <c r="AU79" i="4"/>
  <c r="AW79" i="4" s="1"/>
  <c r="AQ20" i="4"/>
  <c r="AU43" i="4"/>
  <c r="AW43" i="4" s="1"/>
  <c r="AU72" i="4"/>
  <c r="AW72" i="4" s="1"/>
  <c r="AU147" i="4"/>
  <c r="AW147" i="4" s="1"/>
  <c r="AU37" i="4"/>
  <c r="AW37" i="4" s="1"/>
  <c r="AU25" i="4"/>
  <c r="AW25" i="4" s="1"/>
  <c r="AU81" i="4"/>
  <c r="AW81" i="4" s="1"/>
  <c r="AP152" i="4"/>
  <c r="AQ152" i="4"/>
  <c r="AC152" i="4"/>
  <c r="AD152" i="4" s="1"/>
  <c r="AP93" i="4"/>
  <c r="AQ93" i="4"/>
  <c r="AC93" i="4"/>
  <c r="AD93" i="4" s="1"/>
  <c r="BO9" i="5"/>
  <c r="AU70" i="4"/>
  <c r="AW70" i="4" s="1"/>
  <c r="AU41" i="4"/>
  <c r="AW41" i="4" s="1"/>
  <c r="AU69" i="4"/>
  <c r="AW69" i="4" s="1"/>
  <c r="AU52" i="4"/>
  <c r="AW52" i="4" s="1"/>
  <c r="AU51" i="4"/>
  <c r="AW51" i="4" s="1"/>
  <c r="AU57" i="4"/>
  <c r="AW57" i="4" s="1"/>
  <c r="AU68" i="4"/>
  <c r="AW68" i="4" s="1"/>
  <c r="AU154" i="4"/>
  <c r="AW154" i="4" s="1"/>
  <c r="AU11" i="4"/>
  <c r="AW11" i="4" s="1"/>
  <c r="AU143" i="4"/>
  <c r="AW143" i="4" s="1"/>
  <c r="AU61" i="4"/>
  <c r="AW61" i="4" s="1"/>
  <c r="B81" i="5" a="1"/>
  <c r="B81" i="5" s="1"/>
  <c r="B83" i="5" a="1"/>
  <c r="B83" i="5" s="1"/>
  <c r="C83" i="5" a="1"/>
  <c r="C83" i="5" s="1"/>
  <c r="C81" i="5" a="1"/>
  <c r="C81" i="5" s="1"/>
  <c r="C82" i="5" a="1"/>
  <c r="C82" i="5" s="1"/>
  <c r="B82" i="5" a="1"/>
  <c r="B82" i="5" s="1"/>
  <c r="AU118" i="4"/>
  <c r="AW118" i="4" s="1"/>
  <c r="AU139" i="4"/>
  <c r="AW139" i="4" s="1"/>
  <c r="AU17" i="4"/>
  <c r="AW17" i="4" s="1"/>
  <c r="AU120" i="4"/>
  <c r="AW120" i="4" s="1"/>
  <c r="AU87" i="4"/>
  <c r="AW87" i="4" s="1"/>
  <c r="AU125" i="4"/>
  <c r="AW125" i="4" s="1"/>
  <c r="AU19" i="4"/>
  <c r="AW19" i="4" s="1"/>
  <c r="AU103" i="4"/>
  <c r="AW103" i="4" s="1"/>
  <c r="AU144" i="4"/>
  <c r="AW144" i="4" s="1"/>
  <c r="AU149" i="4"/>
  <c r="AW149" i="4" s="1"/>
  <c r="AU55" i="4"/>
  <c r="AW55" i="4" s="1"/>
  <c r="AU90" i="4"/>
  <c r="AW90" i="4" s="1"/>
  <c r="AU119" i="4"/>
  <c r="AW119" i="4" s="1"/>
  <c r="AU121" i="4"/>
  <c r="AW121" i="4" s="1"/>
  <c r="AU102" i="4"/>
  <c r="AW102" i="4" s="1"/>
  <c r="AU84" i="4"/>
  <c r="AW84" i="4" s="1"/>
  <c r="AU77" i="4"/>
  <c r="AW77" i="4" s="1"/>
  <c r="AU146" i="4"/>
  <c r="AW146" i="4" s="1"/>
  <c r="AU60" i="4"/>
  <c r="AW60" i="4" s="1"/>
  <c r="AU113" i="4"/>
  <c r="AW113" i="4" s="1"/>
  <c r="AU136" i="4"/>
  <c r="AW136" i="4" s="1"/>
  <c r="AU112" i="4"/>
  <c r="AW112" i="4" s="1"/>
  <c r="AU58" i="4"/>
  <c r="AW58" i="4" s="1"/>
  <c r="AU132" i="4"/>
  <c r="AW132" i="4" s="1"/>
  <c r="AU127" i="4"/>
  <c r="AW127" i="4" s="1"/>
  <c r="AU89" i="4"/>
  <c r="AW89" i="4" s="1"/>
  <c r="AU138" i="4"/>
  <c r="AW138" i="4" s="1"/>
  <c r="AU128" i="4"/>
  <c r="AW128" i="4" s="1"/>
  <c r="AU80" i="4"/>
  <c r="AW80" i="4" s="1"/>
  <c r="AU122" i="4"/>
  <c r="AW122" i="4" s="1"/>
  <c r="AU114" i="4"/>
  <c r="AW114" i="4" s="1"/>
  <c r="AU105" i="4"/>
  <c r="AW105" i="4" s="1"/>
  <c r="AU86" i="4"/>
  <c r="AW86" i="4" s="1"/>
  <c r="AU75" i="4"/>
  <c r="AW75" i="4" s="1"/>
  <c r="AU92" i="4"/>
  <c r="AW92" i="4" s="1"/>
  <c r="AU116" i="4"/>
  <c r="AW116" i="4" s="1"/>
  <c r="AU131" i="4"/>
  <c r="AW131" i="4" s="1"/>
  <c r="AU145" i="4"/>
  <c r="AW145" i="4" s="1"/>
  <c r="AU101" i="4"/>
  <c r="AW101" i="4" s="1"/>
  <c r="AU13" i="4"/>
  <c r="AW13" i="4" s="1"/>
  <c r="AU54" i="4"/>
  <c r="AW54" i="4" s="1"/>
  <c r="AU44" i="4"/>
  <c r="AW44" i="4" s="1"/>
  <c r="AU50" i="4"/>
  <c r="AW50" i="4" s="1"/>
  <c r="AU39" i="4"/>
  <c r="AW39" i="4" s="1"/>
  <c r="AU36" i="4"/>
  <c r="AW36" i="4" s="1"/>
  <c r="AU35" i="4"/>
  <c r="AW35" i="4" s="1"/>
  <c r="AU14" i="4"/>
  <c r="AW14" i="4" s="1"/>
  <c r="BJ11" i="5"/>
  <c r="AU9" i="4"/>
  <c r="AW9" i="4" s="1"/>
  <c r="AU29" i="4"/>
  <c r="AW29" i="4" s="1"/>
  <c r="AU27" i="4"/>
  <c r="AW27" i="4" s="1"/>
  <c r="AU15" i="4"/>
  <c r="AW15" i="4" s="1"/>
  <c r="AU22" i="4"/>
  <c r="AW22" i="4" s="1"/>
  <c r="AU23" i="4"/>
  <c r="AW23" i="4" s="1"/>
  <c r="AU18" i="4"/>
  <c r="AW18" i="4" s="1"/>
  <c r="BN11" i="5"/>
  <c r="BP11" i="5" s="1"/>
  <c r="BM11" i="5"/>
  <c r="AU21" i="4"/>
  <c r="AW21" i="4" s="1"/>
  <c r="AU16" i="4"/>
  <c r="AW16" i="4" s="1"/>
  <c r="AU12" i="4" l="1"/>
  <c r="AW12" i="4" s="1"/>
  <c r="AU10" i="4"/>
  <c r="AW10" i="4" s="1"/>
  <c r="AU7" i="4"/>
  <c r="AW7" i="4" s="1"/>
  <c r="AU8" i="4"/>
  <c r="AW8" i="4" s="1"/>
  <c r="AU20" i="4"/>
  <c r="AW20" i="4" s="1"/>
  <c r="AU152" i="4"/>
  <c r="AW152" i="4" s="1"/>
  <c r="AU93" i="4"/>
  <c r="AW93" i="4" s="1"/>
  <c r="E82" i="5"/>
  <c r="F82" i="5" s="1"/>
  <c r="E83" i="5"/>
  <c r="F83" i="5" s="1"/>
  <c r="BO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Ji, Feng</author>
    <author>Lee, Eric</author>
  </authors>
  <commentList>
    <comment ref="A3" authorId="0" shapeId="0" xr:uid="{00000000-0006-0000-0000-000001000000}">
      <text>
        <r>
          <rPr>
            <b/>
            <sz val="11"/>
            <color indexed="10"/>
            <rFont val="Tahoma"/>
            <family val="2"/>
          </rPr>
          <t>Welcome to the LM5125-Q1 Design Tool</t>
        </r>
        <r>
          <rPr>
            <sz val="9"/>
            <color indexed="81"/>
            <rFont val="Tahoma"/>
            <family val="2"/>
          </rPr>
          <t xml:space="preserve">
This stand-alone tool facilitates and assists the power supply engineer with design of a DC-DC boost converter based on the LM5125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t>
        </r>
      </text>
    </comment>
    <comment ref="O3" authorId="0" shapeId="0" xr:uid="{00000000-0006-0000-0000-000002000000}">
      <text>
        <r>
          <rPr>
            <sz val="9"/>
            <color indexed="81"/>
            <rFont val="Tahoma"/>
            <family val="2"/>
          </rPr>
          <t xml:space="preserve">
</t>
        </r>
        <r>
          <rPr>
            <sz val="12"/>
            <color indexed="10"/>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The most recent version of this excel file can be found in the product folder of the part at TI.com. To activate all functions, Macro should be enabled and 'Analysis Toolpak' should be added in. 
</t>
        </r>
      </text>
    </comment>
    <comment ref="I6" authorId="1" shapeId="0" xr:uid="{FF9B92A5-CEE4-4B0E-B4CB-01C1D52F4D80}">
      <text>
        <r>
          <rPr>
            <b/>
            <sz val="9"/>
            <color indexed="81"/>
            <rFont val="Tahoma"/>
            <family val="2"/>
          </rPr>
          <t xml:space="preserve">Key Difference between LM5125A-Q1 and LM5125-Q1:
</t>
        </r>
        <r>
          <rPr>
            <sz val="9"/>
            <color indexed="81"/>
            <rFont val="Tahoma"/>
            <family val="2"/>
          </rPr>
          <t>OVP_max_H behavior
LM5125A-Q1: Latch;  LM5125-Q1: Hiccup
Stackable:
LM5125A-Q1: Yes,  LM5125-Q1: No.</t>
        </r>
      </text>
    </comment>
    <comment ref="H7" authorId="1" shapeId="0" xr:uid="{4E433FD4-7C62-43D9-A4C4-918BA518DDD1}">
      <text>
        <r>
          <rPr>
            <b/>
            <sz val="9"/>
            <color indexed="81"/>
            <rFont val="Tahoma"/>
            <family val="2"/>
          </rPr>
          <t xml:space="preserve">Minimum input voltage
</t>
        </r>
        <r>
          <rPr>
            <sz val="9"/>
            <color indexed="81"/>
            <rFont val="Tahoma"/>
            <family val="2"/>
          </rPr>
          <t xml:space="preserve">Select the minimum input voltage that the boost controller will need to operate.
This cell will turn </t>
        </r>
        <r>
          <rPr>
            <sz val="9"/>
            <color indexed="10"/>
            <rFont val="Tahoma"/>
            <family val="2"/>
          </rPr>
          <t>RED</t>
        </r>
        <r>
          <rPr>
            <sz val="9"/>
            <color indexed="81"/>
            <rFont val="Tahoma"/>
            <family val="2"/>
          </rPr>
          <t xml:space="preserve"> if it is less than 4.5V.</t>
        </r>
      </text>
    </comment>
    <comment ref="H8" authorId="1" shapeId="0" xr:uid="{2214E331-477A-44CD-BBB9-ACDDF3874FF0}">
      <text>
        <r>
          <rPr>
            <b/>
            <sz val="9"/>
            <color indexed="81"/>
            <rFont val="Tahoma"/>
            <family val="2"/>
          </rPr>
          <t xml:space="preserve">Typical Input Voltage
</t>
        </r>
        <r>
          <rPr>
            <sz val="9"/>
            <color indexed="81"/>
            <rFont val="Tahoma"/>
            <family val="2"/>
          </rPr>
          <t xml:space="preserve">Select the typical input voltage that the boost controller will need to operate.
This cell will turn </t>
        </r>
        <r>
          <rPr>
            <sz val="9"/>
            <color indexed="10"/>
            <rFont val="Tahoma"/>
            <family val="2"/>
          </rPr>
          <t>RED</t>
        </r>
        <r>
          <rPr>
            <sz val="9"/>
            <color indexed="81"/>
            <rFont val="Tahoma"/>
            <family val="2"/>
          </rPr>
          <t xml:space="preserve"> if it is lower than V</t>
        </r>
        <r>
          <rPr>
            <vertAlign val="subscript"/>
            <sz val="9"/>
            <color indexed="81"/>
            <rFont val="Tahoma"/>
            <family val="2"/>
          </rPr>
          <t>in(min)</t>
        </r>
        <r>
          <rPr>
            <sz val="9"/>
            <color indexed="81"/>
            <rFont val="Tahoma"/>
            <family val="2"/>
          </rPr>
          <t xml:space="preserve"> or higher than V</t>
        </r>
        <r>
          <rPr>
            <vertAlign val="subscript"/>
            <sz val="9"/>
            <color indexed="81"/>
            <rFont val="Tahoma"/>
            <family val="2"/>
          </rPr>
          <t>in(max)</t>
        </r>
        <r>
          <rPr>
            <sz val="9"/>
            <color indexed="81"/>
            <rFont val="Tahoma"/>
            <family val="2"/>
          </rPr>
          <t>.</t>
        </r>
      </text>
    </comment>
    <comment ref="H9" authorId="1" shapeId="0" xr:uid="{F48CF9AD-75E8-4DA7-9293-BDF11510BFD0}">
      <text>
        <r>
          <rPr>
            <b/>
            <sz val="9"/>
            <color indexed="81"/>
            <rFont val="Tahoma"/>
            <charset val="1"/>
          </rPr>
          <t xml:space="preserve">Maximum Input Voltage
</t>
        </r>
        <r>
          <rPr>
            <sz val="9"/>
            <color indexed="81"/>
            <rFont val="Tahoma"/>
            <family val="2"/>
          </rPr>
          <t xml:space="preserve">
Select the maximum input voltage that the boost controller will need to operate.
This cell will turn </t>
        </r>
        <r>
          <rPr>
            <sz val="9"/>
            <color indexed="10"/>
            <rFont val="Tahoma"/>
            <family val="2"/>
          </rPr>
          <t>RED</t>
        </r>
        <r>
          <rPr>
            <sz val="9"/>
            <color indexed="81"/>
            <rFont val="Tahoma"/>
            <family val="2"/>
          </rPr>
          <t xml:space="preserve"> if it is more than 42V.</t>
        </r>
      </text>
    </comment>
    <comment ref="H10" authorId="2" shapeId="0" xr:uid="{9737E87A-F0F1-4A53-8FC0-F0BFFDE08043}">
      <text>
        <r>
          <rPr>
            <b/>
            <sz val="9"/>
            <color indexed="81"/>
            <rFont val="Tahoma"/>
            <family val="2"/>
          </rPr>
          <t xml:space="preserve">VOUT Regulation Target
</t>
        </r>
        <r>
          <rPr>
            <sz val="9"/>
            <color indexed="81"/>
            <rFont val="Tahoma"/>
            <family val="2"/>
          </rPr>
          <t xml:space="preserve">
VOUT Range is from 6V to 60V. This cell will turn </t>
        </r>
        <r>
          <rPr>
            <sz val="9"/>
            <color indexed="10"/>
            <rFont val="Tahoma"/>
            <family val="2"/>
          </rPr>
          <t>RED</t>
        </r>
        <r>
          <rPr>
            <sz val="9"/>
            <color indexed="81"/>
            <rFont val="Tahoma"/>
            <family val="2"/>
          </rPr>
          <t xml:space="preserve"> if it is out of this range.
Be very careful when VOUT is more than 45V. Make sure the switching node voltage spike is always below 65V. This level can be reached easily especially with high output voltage and high current.
</t>
        </r>
      </text>
    </comment>
    <comment ref="H12" authorId="0" shapeId="0" xr:uid="{1E502D3B-2F46-4D58-BA2C-DC5D21CB909E}">
      <text>
        <r>
          <rPr>
            <b/>
            <sz val="9"/>
            <color indexed="81"/>
            <rFont val="Tahoma"/>
            <family val="2"/>
          </rPr>
          <t xml:space="preserve">Light Load Switching Mode Selection:
</t>
        </r>
        <r>
          <rPr>
            <sz val="9"/>
            <color indexed="81"/>
            <rFont val="Tahoma"/>
            <family val="2"/>
          </rPr>
          <t>FPWM --&gt; MODE pin connected to VCC.
DEM --&gt; MODE pin connect to GND.
See the datasheet for more details on each mode.</t>
        </r>
      </text>
    </comment>
    <comment ref="H15" authorId="1" shapeId="0" xr:uid="{C08D77F8-55AF-4643-B49B-C0EC02DC0F8E}">
      <text>
        <r>
          <rPr>
            <b/>
            <sz val="9"/>
            <color indexed="81"/>
            <rFont val="Tahoma"/>
            <family val="2"/>
          </rPr>
          <t>Total Phase:</t>
        </r>
        <r>
          <rPr>
            <sz val="9"/>
            <color indexed="81"/>
            <rFont val="Tahoma"/>
            <family val="2"/>
          </rPr>
          <t xml:space="preserve">
LM5125-Q1 supports 2-phase maximum.
LM5125A-Q1 supports 4-phase maximum.
This cell will turn RED if 3-phase or 4-phase is selected for LM5125-Q1.</t>
        </r>
      </text>
    </comment>
    <comment ref="H22" authorId="0" shapeId="0" xr:uid="{00000000-0006-0000-0000-000004000000}">
      <text>
        <r>
          <rPr>
            <b/>
            <sz val="9"/>
            <color indexed="81"/>
            <rFont val="Tahoma"/>
            <family val="2"/>
          </rPr>
          <t xml:space="preserve">If this cell shows:
CCM: </t>
        </r>
        <r>
          <rPr>
            <sz val="9"/>
            <color indexed="81"/>
            <rFont val="Tahoma"/>
            <family val="2"/>
          </rPr>
          <t>The step up ratio from the minimum supply voltage to the load voltage can be achieved without exceeding the maximum duty cycle. Continous conduction mode is possilbe at the minimum supply voltage.</t>
        </r>
        <r>
          <rPr>
            <b/>
            <sz val="9"/>
            <color indexed="81"/>
            <rFont val="Tahoma"/>
            <family val="2"/>
          </rPr>
          <t xml:space="preserve">
DCM: </t>
        </r>
        <r>
          <rPr>
            <sz val="9"/>
            <color indexed="81"/>
            <rFont val="Tahoma"/>
            <family val="2"/>
          </rPr>
          <t>Discontinous conduction mode at the minimum supply voltage must be used as the duty cycle exceeds the maximum of the IC. This will result in higher peak inductor currents and lower efficiency. If this occurs, it is possible to decrease the switching frequency to increase the maximum duty cycle.</t>
        </r>
      </text>
    </comment>
    <comment ref="H23" authorId="1" shapeId="0" xr:uid="{EC0B3B50-748C-4710-BE27-C594CF72A74B}">
      <text>
        <r>
          <rPr>
            <b/>
            <sz val="9"/>
            <color indexed="81"/>
            <rFont val="Tahoma"/>
            <family val="2"/>
          </rPr>
          <t>Selected Maximum Inductor Current Ripple Ratio:</t>
        </r>
        <r>
          <rPr>
            <sz val="9"/>
            <color indexed="81"/>
            <rFont val="Tahoma"/>
            <charset val="1"/>
          </rPr>
          <t xml:space="preserve">
This is the ratio of peak-to-peak inductor ripple current to the maximum average inductor current. Typically, this value should be around 40%. This is a tradeoff between core loss and cross over frequency.
Once the Ripple Ratio has been selected it will be used to calculate the inductor value.</t>
        </r>
      </text>
    </comment>
    <comment ref="H30" authorId="1" shapeId="0" xr:uid="{8F2349CE-A3C0-47D7-B20E-5EF15B555C53}">
      <text>
        <r>
          <rPr>
            <b/>
            <sz val="9"/>
            <color indexed="81"/>
            <rFont val="Tahoma"/>
            <charset val="1"/>
          </rPr>
          <t xml:space="preserve">Peak Current Limit
</t>
        </r>
        <r>
          <rPr>
            <sz val="9"/>
            <color indexed="81"/>
            <rFont val="Tahoma"/>
            <family val="2"/>
          </rPr>
          <t xml:space="preserve">The peak current limit defines the peak current for each phase. </t>
        </r>
      </text>
    </comment>
    <comment ref="H36" authorId="1" shapeId="0" xr:uid="{AE880002-EE5D-4612-93CB-E9A90CD67829}">
      <text>
        <r>
          <rPr>
            <b/>
            <sz val="9"/>
            <color indexed="81"/>
            <rFont val="Tahoma"/>
            <charset val="1"/>
          </rPr>
          <t xml:space="preserve">Output Voltage Ripple
</t>
        </r>
        <r>
          <rPr>
            <sz val="9"/>
            <color indexed="81"/>
            <rFont val="Tahoma"/>
            <family val="2"/>
          </rPr>
          <t>This is the output voltage overshoot and output voltage undershoot during a load transient of 50% load to 100% load.
You may get a worse result from 0% load to 50% load in DEM.</t>
        </r>
      </text>
    </comment>
    <comment ref="H47" authorId="1" shapeId="0" xr:uid="{32926B05-E9F2-4596-B27C-6429D03C1897}">
      <text>
        <r>
          <rPr>
            <b/>
            <sz val="9"/>
            <color indexed="81"/>
            <rFont val="Tahoma"/>
            <family val="2"/>
          </rPr>
          <t>Desired Total Average Current</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
The input current will be regulated to I</t>
        </r>
        <r>
          <rPr>
            <vertAlign val="subscript"/>
            <sz val="9"/>
            <color indexed="81"/>
            <rFont val="Tahoma"/>
            <family val="2"/>
          </rPr>
          <t>lim</t>
        </r>
        <r>
          <rPr>
            <sz val="9"/>
            <color indexed="81"/>
            <rFont val="Tahoma"/>
            <family val="2"/>
          </rPr>
          <t xml:space="preserve"> after t</t>
        </r>
        <r>
          <rPr>
            <vertAlign val="subscript"/>
            <sz val="9"/>
            <color indexed="81"/>
            <rFont val="Tahoma"/>
            <family val="2"/>
          </rPr>
          <t>B</t>
        </r>
        <r>
          <rPr>
            <sz val="9"/>
            <color indexed="81"/>
            <rFont val="Tahoma"/>
            <family val="2"/>
          </rPr>
          <t>. Refer to the diagram on the right. This is the sum of input current of each phase.</t>
        </r>
      </text>
    </comment>
    <comment ref="H50" authorId="1" shapeId="0" xr:uid="{26B94F53-CA1E-4F97-AB9A-544E2A7058E1}">
      <text>
        <r>
          <rPr>
            <b/>
            <sz val="9"/>
            <color indexed="81"/>
            <rFont val="Tahoma"/>
            <family val="2"/>
          </rPr>
          <t xml:space="preserve">IMON voltage
</t>
        </r>
        <r>
          <rPr>
            <sz val="9"/>
            <color indexed="81"/>
            <rFont val="Tahoma"/>
            <family val="2"/>
          </rPr>
          <t xml:space="preserve">
This cell will turn </t>
        </r>
        <r>
          <rPr>
            <sz val="9"/>
            <color indexed="10"/>
            <rFont val="Tahoma"/>
            <family val="2"/>
          </rPr>
          <t>RED</t>
        </r>
        <r>
          <rPr>
            <sz val="9"/>
            <color indexed="81"/>
            <rFont val="Tahoma"/>
            <family val="2"/>
          </rPr>
          <t xml:space="preserve"> if V</t>
        </r>
        <r>
          <rPr>
            <vertAlign val="subscript"/>
            <sz val="9"/>
            <color indexed="81"/>
            <rFont val="Tahoma"/>
            <family val="2"/>
          </rPr>
          <t>IMON</t>
        </r>
        <r>
          <rPr>
            <sz val="9"/>
            <color indexed="81"/>
            <rFont val="Tahoma"/>
            <family val="2"/>
          </rPr>
          <t xml:space="preserve"> is internally clamped to 3V.
Reduce R</t>
        </r>
        <r>
          <rPr>
            <vertAlign val="subscript"/>
            <sz val="9"/>
            <color indexed="81"/>
            <rFont val="Tahoma"/>
            <family val="2"/>
          </rPr>
          <t>IMON</t>
        </r>
        <r>
          <rPr>
            <sz val="9"/>
            <color indexed="81"/>
            <rFont val="Tahoma"/>
            <family val="2"/>
          </rPr>
          <t xml:space="preserve"> to to get rid of this warning.</t>
        </r>
      </text>
    </comment>
    <comment ref="H51" authorId="1" shapeId="0" xr:uid="{CE569F2E-2B07-4872-9219-EB299991678F}">
      <text>
        <r>
          <rPr>
            <b/>
            <sz val="9"/>
            <color indexed="81"/>
            <rFont val="Tahoma"/>
            <family val="2"/>
          </rPr>
          <t xml:space="preserve">Total Average Current Limit
</t>
        </r>
        <r>
          <rPr>
            <sz val="9"/>
            <color indexed="81"/>
            <rFont val="Tahoma"/>
            <family val="2"/>
          </rPr>
          <t xml:space="preserve">
This cell will turn </t>
        </r>
        <r>
          <rPr>
            <sz val="9"/>
            <color indexed="10"/>
            <rFont val="Tahoma"/>
            <family val="2"/>
          </rPr>
          <t>RED</t>
        </r>
        <r>
          <rPr>
            <sz val="9"/>
            <color indexed="81"/>
            <rFont val="Tahoma"/>
            <family val="2"/>
          </rPr>
          <t xml:space="preserve"> if I</t>
        </r>
        <r>
          <rPr>
            <vertAlign val="subscript"/>
            <sz val="9"/>
            <color indexed="81"/>
            <rFont val="Tahoma"/>
            <family val="2"/>
          </rPr>
          <t>lim</t>
        </r>
        <r>
          <rPr>
            <sz val="9"/>
            <color indexed="81"/>
            <rFont val="Tahoma"/>
            <family val="2"/>
          </rPr>
          <t>&lt;0 or I</t>
        </r>
        <r>
          <rPr>
            <vertAlign val="subscript"/>
            <sz val="9"/>
            <color indexed="81"/>
            <rFont val="Tahoma"/>
            <family val="2"/>
          </rPr>
          <t>lim</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2" authorId="1" shapeId="0" xr:uid="{B44B5A71-7B5F-4E60-AAF5-6E5859BE6AE1}">
      <text>
        <r>
          <rPr>
            <b/>
            <sz val="9"/>
            <color indexed="81"/>
            <rFont val="Tahoma"/>
            <family val="2"/>
          </rPr>
          <t xml:space="preserve">Transient Input Current
</t>
        </r>
        <r>
          <rPr>
            <sz val="9"/>
            <color indexed="81"/>
            <rFont val="Tahoma"/>
            <family val="2"/>
          </rPr>
          <t>This is the sum of N</t>
        </r>
        <r>
          <rPr>
            <vertAlign val="subscript"/>
            <sz val="9"/>
            <color indexed="81"/>
            <rFont val="Tahoma"/>
            <family val="2"/>
          </rPr>
          <t>p</t>
        </r>
        <r>
          <rPr>
            <sz val="9"/>
            <color indexed="81"/>
            <rFont val="Tahoma"/>
            <family val="2"/>
          </rPr>
          <t xml:space="preserve"> phase input current during t</t>
        </r>
        <r>
          <rPr>
            <vertAlign val="subscript"/>
            <sz val="9"/>
            <color indexed="81"/>
            <rFont val="Tahoma"/>
            <family val="2"/>
          </rPr>
          <t>B</t>
        </r>
        <r>
          <rPr>
            <sz val="9"/>
            <color indexed="81"/>
            <rFont val="Tahoma"/>
            <family val="2"/>
          </rPr>
          <t>. Refer to the diagram on the right. 
This cell will turn RED if I</t>
        </r>
        <r>
          <rPr>
            <vertAlign val="subscript"/>
            <sz val="9"/>
            <color indexed="81"/>
            <rFont val="Tahoma"/>
            <family val="2"/>
          </rPr>
          <t>tr</t>
        </r>
        <r>
          <rPr>
            <sz val="9"/>
            <color indexed="81"/>
            <rFont val="Tahoma"/>
            <family val="2"/>
          </rPr>
          <t>&lt;I</t>
        </r>
        <r>
          <rPr>
            <vertAlign val="subscript"/>
            <sz val="9"/>
            <color indexed="81"/>
            <rFont val="Tahoma"/>
            <family val="2"/>
          </rPr>
          <t>lim</t>
        </r>
        <r>
          <rPr>
            <sz val="9"/>
            <color indexed="81"/>
            <rFont val="Tahoma"/>
            <family val="2"/>
          </rPr>
          <t xml:space="preserve"> or I</t>
        </r>
        <r>
          <rPr>
            <vertAlign val="subscript"/>
            <sz val="9"/>
            <color indexed="81"/>
            <rFont val="Tahoma"/>
            <family val="2"/>
          </rPr>
          <t>tr</t>
        </r>
        <r>
          <rPr>
            <sz val="9"/>
            <color indexed="81"/>
            <rFont val="Tahoma"/>
            <family val="2"/>
          </rPr>
          <t>&gt;N</t>
        </r>
        <r>
          <rPr>
            <vertAlign val="subscript"/>
            <sz val="9"/>
            <color indexed="81"/>
            <rFont val="Tahoma"/>
            <family val="2"/>
          </rPr>
          <t>p</t>
        </r>
        <r>
          <rPr>
            <sz val="9"/>
            <color indexed="81"/>
            <rFont val="Tahoma"/>
            <family val="2"/>
          </rPr>
          <t>*I</t>
        </r>
        <r>
          <rPr>
            <vertAlign val="subscript"/>
            <sz val="9"/>
            <color indexed="81"/>
            <rFont val="Tahoma"/>
            <family val="2"/>
          </rPr>
          <t>PK</t>
        </r>
        <r>
          <rPr>
            <sz val="9"/>
            <color indexed="81"/>
            <rFont val="Tahoma"/>
            <family val="2"/>
          </rPr>
          <t>.</t>
        </r>
      </text>
    </comment>
    <comment ref="H53" authorId="1" shapeId="0" xr:uid="{5339CE2D-CD56-49ED-B50C-085B5E04D836}">
      <text>
        <r>
          <rPr>
            <b/>
            <sz val="9"/>
            <color indexed="81"/>
            <rFont val="Tahoma"/>
            <family val="2"/>
          </rPr>
          <t xml:space="preserve">Required Blanking Time
</t>
        </r>
        <r>
          <rPr>
            <sz val="9"/>
            <color indexed="81"/>
            <rFont val="Tahoma"/>
            <family val="2"/>
          </rPr>
          <t>The current will be regulated to Ilim after t</t>
        </r>
        <r>
          <rPr>
            <vertAlign val="subscript"/>
            <sz val="9"/>
            <color indexed="81"/>
            <rFont val="Tahoma"/>
            <family val="2"/>
          </rPr>
          <t>B</t>
        </r>
        <r>
          <rPr>
            <sz val="9"/>
            <color indexed="81"/>
            <rFont val="Tahoma"/>
            <family val="2"/>
          </rPr>
          <t xml:space="preserve">. Refer to the diagram on the right.
</t>
        </r>
      </text>
    </comment>
    <comment ref="H57" authorId="1" shapeId="0" xr:uid="{63166EC2-3475-4310-9F93-A2CA5B4CBA24}">
      <text>
        <r>
          <rPr>
            <b/>
            <sz val="9"/>
            <color indexed="81"/>
            <rFont val="Tahoma"/>
            <charset val="1"/>
          </rPr>
          <t xml:space="preserve">DLY
</t>
        </r>
        <r>
          <rPr>
            <sz val="9"/>
            <color indexed="81"/>
            <rFont val="Tahoma"/>
            <family val="2"/>
          </rPr>
          <t>It is suggested to use 10pF.</t>
        </r>
      </text>
    </comment>
    <comment ref="H61" authorId="1" shapeId="0" xr:uid="{4BBB4B8F-487A-4BF4-A0F0-7CF6B3189EAC}">
      <text>
        <r>
          <rPr>
            <b/>
            <sz val="9"/>
            <color indexed="81"/>
            <rFont val="Tahoma"/>
            <charset val="1"/>
          </rPr>
          <t xml:space="preserve">Maximum Input Capacitance of Low Side FET
</t>
        </r>
        <r>
          <rPr>
            <sz val="9"/>
            <color indexed="81"/>
            <rFont val="Tahoma"/>
            <family val="2"/>
          </rPr>
          <t>This can be found in the MOSFET datasheet.</t>
        </r>
      </text>
    </comment>
    <comment ref="H62" authorId="1" shapeId="0" xr:uid="{8D4ADC63-DA29-4F49-9D16-849E2FE06FD3}">
      <text>
        <r>
          <rPr>
            <b/>
            <sz val="9"/>
            <color indexed="81"/>
            <rFont val="Tahoma"/>
            <family val="2"/>
          </rPr>
          <t>Total gate resistance of low side FET, R</t>
        </r>
        <r>
          <rPr>
            <b/>
            <vertAlign val="subscript"/>
            <sz val="9"/>
            <color indexed="81"/>
            <rFont val="Tahoma"/>
            <family val="2"/>
          </rPr>
          <t xml:space="preserve">gate
</t>
        </r>
        <r>
          <rPr>
            <b/>
            <sz val="9"/>
            <color indexed="81"/>
            <rFont val="Tahoma"/>
            <family val="2"/>
          </rPr>
          <t xml:space="preserve">
</t>
        </r>
        <r>
          <rPr>
            <sz val="9"/>
            <color indexed="81"/>
            <rFont val="Tahoma"/>
            <family val="2"/>
          </rPr>
          <t>Inculde MOSFET internal gate resistance (R</t>
        </r>
        <r>
          <rPr>
            <vertAlign val="subscript"/>
            <sz val="9"/>
            <color indexed="81"/>
            <rFont val="Tahoma"/>
            <family val="2"/>
          </rPr>
          <t>G</t>
        </r>
        <r>
          <rPr>
            <sz val="9"/>
            <color indexed="81"/>
            <rFont val="Tahoma"/>
            <family val="2"/>
          </rPr>
          <t>) and external gate resistor for R</t>
        </r>
        <r>
          <rPr>
            <vertAlign val="subscript"/>
            <sz val="9"/>
            <color indexed="81"/>
            <rFont val="Tahoma"/>
            <family val="2"/>
          </rPr>
          <t>gate</t>
        </r>
        <r>
          <rPr>
            <sz val="9"/>
            <color indexed="81"/>
            <rFont val="Tahoma"/>
            <family val="2"/>
          </rPr>
          <t>. 
R</t>
        </r>
        <r>
          <rPr>
            <vertAlign val="subscript"/>
            <sz val="9"/>
            <color indexed="81"/>
            <rFont val="Tahoma"/>
            <family val="2"/>
          </rPr>
          <t>G</t>
        </r>
        <r>
          <rPr>
            <sz val="9"/>
            <color indexed="81"/>
            <rFont val="Tahoma"/>
            <family val="2"/>
          </rPr>
          <t xml:space="preserve"> can be found in the MOSFET datasheet.</t>
        </r>
      </text>
    </comment>
    <comment ref="H63" authorId="1" shapeId="0" xr:uid="{C7CDFF7F-4F5D-4659-8CB8-4B8E780185F0}">
      <text>
        <r>
          <rPr>
            <b/>
            <sz val="9"/>
            <color indexed="81"/>
            <rFont val="Tahoma"/>
            <family val="2"/>
          </rPr>
          <t>Minimum Gate-Source Threshold Voltage</t>
        </r>
        <r>
          <rPr>
            <sz val="9"/>
            <color indexed="81"/>
            <rFont val="Tahoma"/>
            <family val="2"/>
          </rPr>
          <t xml:space="preserve">
This can be found in the MOSFET datasheet.</t>
        </r>
      </text>
    </comment>
    <comment ref="H64" authorId="1" shapeId="0" xr:uid="{B86ACB48-D4B7-4A94-A14E-D944E5E6027F}">
      <text>
        <r>
          <rPr>
            <b/>
            <sz val="9"/>
            <color indexed="81"/>
            <rFont val="Tahoma"/>
            <family val="2"/>
          </rPr>
          <t xml:space="preserve">Minimum deadtime 
</t>
        </r>
        <r>
          <rPr>
            <sz val="9"/>
            <color indexed="81"/>
            <rFont val="Tahoma"/>
            <family val="2"/>
          </rPr>
          <t xml:space="preserve">
Shoot through may happen with lower deadtime. Choose a higher deadtime in "CFG Selection".</t>
        </r>
      </text>
    </comment>
    <comment ref="H74" authorId="1" shapeId="0" xr:uid="{50B67309-78CD-4D28-A4E8-F8A68DABF2EE}">
      <text>
        <r>
          <rPr>
            <b/>
            <sz val="9"/>
            <color indexed="81"/>
            <rFont val="Tahoma"/>
            <charset val="1"/>
          </rPr>
          <t xml:space="preserve">DRSS
</t>
        </r>
        <r>
          <rPr>
            <sz val="9"/>
            <color indexed="81"/>
            <rFont val="Tahoma"/>
            <family val="2"/>
          </rPr>
          <t xml:space="preserve">If this cell turn </t>
        </r>
        <r>
          <rPr>
            <sz val="9"/>
            <color indexed="10"/>
            <rFont val="Tahoma"/>
            <family val="2"/>
          </rPr>
          <t>RED</t>
        </r>
        <r>
          <rPr>
            <sz val="9"/>
            <color indexed="81"/>
            <rFont val="Tahoma"/>
            <family val="2"/>
          </rPr>
          <t>, it means DRSS is disabled by CFG2, "DRSS: ON" in CFG1 is ignored. When SYNCIN is active in CFG2, DRSS is OFF ignoring CFG1 selection.
Change CFG1 or CFG2 to get rid of this warning.</t>
        </r>
      </text>
    </comment>
    <comment ref="H104" authorId="1" shapeId="0" xr:uid="{A7734620-80A1-4089-8CF8-F5476A80C846}">
      <text>
        <r>
          <rPr>
            <b/>
            <sz val="9"/>
            <color indexed="81"/>
            <rFont val="Tahoma"/>
            <charset val="1"/>
          </rPr>
          <t xml:space="preserve">Control Loop Bandwidth
</t>
        </r>
        <r>
          <rPr>
            <sz val="9"/>
            <color indexed="81"/>
            <rFont val="Tahoma"/>
            <family val="2"/>
          </rPr>
          <t xml:space="preserve">
This sets the bandwidth of the control loop. In a boost controler the RHP zero of the plant transfer function limits the maximum value of the control loop bandwidth. 
The FCO_calc suggests 1/5th the RHP zero frequency at V</t>
        </r>
        <r>
          <rPr>
            <vertAlign val="subscript"/>
            <sz val="9"/>
            <color indexed="81"/>
            <rFont val="Tahoma"/>
            <family val="2"/>
          </rPr>
          <t>in(min)</t>
        </r>
        <r>
          <rPr>
            <sz val="9"/>
            <color indexed="81"/>
            <rFont val="Tahoma"/>
            <family val="2"/>
          </rPr>
          <t>.</t>
        </r>
      </text>
    </comment>
    <comment ref="H105" authorId="0" shapeId="0" xr:uid="{00000000-0006-0000-0000-000008000000}">
      <text>
        <r>
          <rPr>
            <b/>
            <sz val="9"/>
            <color indexed="81"/>
            <rFont val="Tahoma"/>
            <family val="2"/>
          </rPr>
          <t>Control Loop Bandwidth</t>
        </r>
        <r>
          <rPr>
            <sz val="9"/>
            <color indexed="81"/>
            <rFont val="Tahoma"/>
            <family val="2"/>
          </rPr>
          <t xml:space="preserve">
It is recommend to not exceed the FCO_calc value.</t>
        </r>
      </text>
    </comment>
    <comment ref="H119" authorId="1" shapeId="0" xr:uid="{E577726E-40D5-4E46-A7D2-F8DDAFD43F32}">
      <text>
        <r>
          <rPr>
            <b/>
            <sz val="9"/>
            <color indexed="81"/>
            <rFont val="Tahoma"/>
            <charset val="1"/>
          </rPr>
          <t xml:space="preserve">Gate Resistance
</t>
        </r>
        <r>
          <rPr>
            <sz val="9"/>
            <color indexed="81"/>
            <rFont val="Tahoma"/>
            <charset val="1"/>
          </rPr>
          <t xml:space="preserve">
A higher gate resistance for the low side FET can improve the switching node voltage stress at the cost of efficiency.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96" authorId="0" shapeId="0" xr:uid="{00000000-0006-0000-0100-000001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97" authorId="0" shapeId="0" xr:uid="{00000000-0006-0000-0100-000002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sharedStrings.xml><?xml version="1.0" encoding="utf-8"?>
<sst xmlns="http://schemas.openxmlformats.org/spreadsheetml/2006/main" count="1401" uniqueCount="771">
  <si>
    <t>TERMS OF USE</t>
  </si>
  <si>
    <t>ABOUT</t>
  </si>
  <si>
    <t>=Input Box</t>
  </si>
  <si>
    <t>Step 1: Design Specifications</t>
  </si>
  <si>
    <r>
      <t>Free Running Switching Frequency, F</t>
    </r>
    <r>
      <rPr>
        <vertAlign val="subscript"/>
        <sz val="10"/>
        <color theme="1"/>
        <rFont val="Calibri"/>
        <family val="2"/>
        <scheme val="minor"/>
      </rPr>
      <t>SW</t>
    </r>
  </si>
  <si>
    <t>V</t>
  </si>
  <si>
    <t>A</t>
  </si>
  <si>
    <t>kHz</t>
  </si>
  <si>
    <t>%</t>
  </si>
  <si>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</si>
  <si>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</si>
  <si>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</si>
  <si>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</si>
  <si>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</si>
  <si>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</si>
  <si>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</si>
  <si>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</si>
  <si>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</si>
  <si>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</si>
  <si>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</si>
  <si>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</si>
  <si>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</si>
  <si>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</si>
  <si>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</si>
  <si>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</si>
  <si>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</si>
  <si>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IOUT</t>
  </si>
  <si>
    <t>Maximum Output current</t>
  </si>
  <si>
    <t>ROUT</t>
  </si>
  <si>
    <t>Ω</t>
  </si>
  <si>
    <t>POUT</t>
  </si>
  <si>
    <t>W</t>
  </si>
  <si>
    <t>EFF_est</t>
  </si>
  <si>
    <t>Total output power</t>
  </si>
  <si>
    <t>Minimum load resistance</t>
  </si>
  <si>
    <t>Dc_max_ideal</t>
  </si>
  <si>
    <t>Dc_max_IC</t>
  </si>
  <si>
    <t>t_off_max</t>
  </si>
  <si>
    <t>T_off_nom</t>
  </si>
  <si>
    <t>T_off_min</t>
  </si>
  <si>
    <t>s</t>
  </si>
  <si>
    <t>Minimum forced off time</t>
  </si>
  <si>
    <t>nominal forced off time</t>
  </si>
  <si>
    <t>Maximum forced off time</t>
  </si>
  <si>
    <t xml:space="preserve">IC Duty Cycle Limitation: </t>
  </si>
  <si>
    <t xml:space="preserve">Base Calculations of </t>
  </si>
  <si>
    <t>Spec conditions</t>
  </si>
  <si>
    <t>Fsw</t>
  </si>
  <si>
    <t>Hz</t>
  </si>
  <si>
    <t xml:space="preserve">Switching frequnecy </t>
  </si>
  <si>
    <t>Flag</t>
  </si>
  <si>
    <t>RT</t>
  </si>
  <si>
    <t>Oscillator Set resistor. Based on the datasheet equation</t>
  </si>
  <si>
    <r>
      <t>k</t>
    </r>
    <r>
      <rPr>
        <sz val="11"/>
        <color theme="1"/>
        <rFont val="Calibri"/>
        <family val="2"/>
      </rPr>
      <t>Ω</t>
    </r>
  </si>
  <si>
    <t>Step 2: Filter Inductor</t>
  </si>
  <si>
    <t>EXCEL Constants / Values / IC Limits</t>
  </si>
  <si>
    <t>Dc_VIN_min</t>
  </si>
  <si>
    <t>Dc_VIN_nom</t>
  </si>
  <si>
    <t>Dc_VIN_max</t>
  </si>
  <si>
    <t>ton_min</t>
  </si>
  <si>
    <t>IL_avg_VIN_min</t>
  </si>
  <si>
    <t>IL_avg_VIN_nom</t>
  </si>
  <si>
    <t>Average input current at minimum input voltage. 100% Eff assumed</t>
  </si>
  <si>
    <t>Average input current at nominal input voltage. 100% Eff assumed</t>
  </si>
  <si>
    <t>Average input current at maximum input voltage. 100% Eff assumed</t>
  </si>
  <si>
    <t>H</t>
  </si>
  <si>
    <t>ILrip</t>
  </si>
  <si>
    <t>Lm</t>
  </si>
  <si>
    <t>Selected filter inductor</t>
  </si>
  <si>
    <t>Rdcr</t>
  </si>
  <si>
    <r>
      <t>m</t>
    </r>
    <r>
      <rPr>
        <sz val="11"/>
        <color theme="1"/>
        <rFont val="Calibri"/>
        <family val="2"/>
      </rPr>
      <t>Ω</t>
    </r>
  </si>
  <si>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</si>
  <si>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</si>
  <si>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</si>
  <si>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</si>
  <si>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</si>
  <si>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</si>
  <si>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</si>
  <si>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</si>
  <si>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</si>
  <si>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</si>
  <si>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</si>
  <si>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</si>
  <si>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</si>
  <si>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</si>
  <si>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</si>
  <si>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</si>
  <si>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</si>
  <si>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</si>
  <si>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Ipk_margin</t>
  </si>
  <si>
    <t>Peak current limit margin. 20% is a typical value</t>
  </si>
  <si>
    <t>Ipk_selected</t>
  </si>
  <si>
    <t>Selected peak current limit based on margin selection</t>
  </si>
  <si>
    <t>Peak ripple ratio: Boost this happens at 33%</t>
  </si>
  <si>
    <t>Dc_rip_max</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</si>
  <si>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</si>
  <si>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</si>
  <si>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</si>
  <si>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</si>
  <si>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</si>
  <si>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</si>
  <si>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</si>
  <si>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</si>
  <si>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Rcs_wo_sl</t>
  </si>
  <si>
    <t>Vcl</t>
  </si>
  <si>
    <t>Current Limit Value. See datsheet for Parameters</t>
  </si>
  <si>
    <t>Flag_ext_sl</t>
  </si>
  <si>
    <t>R_cs_calc</t>
  </si>
  <si>
    <t>R_sl_calc</t>
  </si>
  <si>
    <t>R_cs</t>
  </si>
  <si>
    <t>R_sl</t>
  </si>
  <si>
    <t>Selected current sense Resistor</t>
  </si>
  <si>
    <t>Check to make sure that slope compensation is high enough at the minimum input voltage</t>
  </si>
  <si>
    <t>Slope Compensation</t>
  </si>
  <si>
    <t>sl_vin_min</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</si>
  <si>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</si>
  <si>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</si>
  <si>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</si>
  <si>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</si>
  <si>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</si>
  <si>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</si>
  <si>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</si>
  <si>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</si>
  <si>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</si>
  <si>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</si>
  <si>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Step 4: Output Capacitor Selection</t>
  </si>
  <si>
    <t>mV</t>
  </si>
  <si>
    <t>uF</t>
  </si>
  <si>
    <t>Desired output ripple</t>
  </si>
  <si>
    <t>Vout_rip_sel</t>
  </si>
  <si>
    <t>Cout_min</t>
  </si>
  <si>
    <t>F</t>
  </si>
  <si>
    <t>Calculate minimum capacitance based simply on the capacitive ripple</t>
  </si>
  <si>
    <t>IRMS_COUT</t>
  </si>
  <si>
    <t>Resr</t>
  </si>
  <si>
    <t>Selected Output Capacitance</t>
  </si>
  <si>
    <t>Selected output capacitance ESR</t>
  </si>
  <si>
    <t>Cout</t>
  </si>
  <si>
    <t>Input Parameters</t>
  </si>
  <si>
    <t>Output Voltage</t>
  </si>
  <si>
    <t>Component Selection</t>
  </si>
  <si>
    <t>LM</t>
  </si>
  <si>
    <t>filter Inductor</t>
  </si>
  <si>
    <t>Current sense resi</t>
  </si>
  <si>
    <t>RCOMP</t>
  </si>
  <si>
    <t>kΩ</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</si>
  <si>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</si>
  <si>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</si>
  <si>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</si>
  <si>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</si>
  <si>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</si>
  <si>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</si>
  <si>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</si>
  <si>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</si>
  <si>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</si>
  <si>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</si>
  <si>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</si>
  <si>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</si>
  <si>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</si>
  <si>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</si>
  <si>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</si>
  <si>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</si>
  <si>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</si>
  <si>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</si>
  <si>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</si>
  <si>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</si>
  <si>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</si>
  <si>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</si>
  <si>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</si>
  <si>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</si>
  <si>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</si>
  <si>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</si>
  <si>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</si>
  <si>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</si>
  <si>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</si>
  <si>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</si>
  <si>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</si>
  <si>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</si>
  <si>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</si>
  <si>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</si>
  <si>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</si>
  <si>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</si>
  <si>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</si>
  <si>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</si>
  <si>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</si>
  <si>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</si>
  <si>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</si>
  <si>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</si>
  <si>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</si>
  <si>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Error Amplifier</t>
  </si>
  <si>
    <t>wz_ea</t>
  </si>
  <si>
    <t>Adc_ea</t>
  </si>
  <si>
    <t>gm_ea</t>
  </si>
  <si>
    <t>Error Amplifier Gain</t>
  </si>
  <si>
    <t>A/V</t>
  </si>
  <si>
    <t>wp0_ea</t>
  </si>
  <si>
    <t>wp1_ea</t>
  </si>
  <si>
    <t>ADC_ea</t>
  </si>
  <si>
    <t xml:space="preserve">Gain </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</si>
  <si>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</si>
  <si>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</si>
  <si>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</si>
  <si>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</si>
  <si>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</si>
  <si>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</si>
  <si>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</si>
  <si>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</si>
  <si>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Vref</t>
  </si>
  <si>
    <t>Reference voltage</t>
  </si>
  <si>
    <t>Selected botton feedback resistor</t>
  </si>
  <si>
    <t>Ifb</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</si>
  <si>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</si>
  <si>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</si>
  <si>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</si>
  <si>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</si>
  <si>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</si>
  <si>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t>
  </si>
  <si>
    <t>Desired Crossover frequency</t>
  </si>
  <si>
    <t>1/10 the swictching frequency</t>
  </si>
  <si>
    <t>Select the lower crossover frequency</t>
  </si>
  <si>
    <t>wz_RHP</t>
  </si>
  <si>
    <t>Rcomp_Calc</t>
  </si>
  <si>
    <t>Calculate on based on the desired Mid-band gain needed to set the crossover frequency</t>
  </si>
  <si>
    <t>fz_ea_est</t>
  </si>
  <si>
    <t>CCOMP_calc</t>
  </si>
  <si>
    <t>fp_ea_est</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</si>
  <si>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</si>
  <si>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</si>
  <si>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</si>
  <si>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</si>
  <si>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</si>
  <si>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</si>
  <si>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</si>
  <si>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</si>
  <si>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</si>
  <si>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</si>
  <si>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</si>
  <si>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</si>
  <si>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</si>
  <si>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</si>
  <si>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</si>
  <si>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</si>
  <si>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</si>
  <si>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</si>
  <si>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</si>
  <si>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</si>
  <si>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ms</t>
  </si>
  <si>
    <t>Css_calc</t>
  </si>
  <si>
    <t>Calcualted Soft-start capacitor</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</si>
  <si>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</si>
  <si>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</si>
  <si>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</si>
  <si>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</si>
  <si>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</si>
  <si>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</si>
  <si>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t>Vd_rect</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</si>
  <si>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</si>
  <si>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</si>
  <si>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</si>
  <si>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</si>
  <si>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</si>
  <si>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</si>
  <si>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</si>
  <si>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</si>
  <si>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</si>
  <si>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</si>
  <si>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</si>
  <si>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</si>
  <si>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</si>
  <si>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</si>
  <si>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</si>
  <si>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</si>
  <si>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</si>
  <si>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Qg_tot</t>
  </si>
  <si>
    <t>Qgs</t>
  </si>
  <si>
    <t>Qgd</t>
  </si>
  <si>
    <t>Rgate</t>
  </si>
  <si>
    <t>gfs</t>
  </si>
  <si>
    <t>Vth</t>
  </si>
  <si>
    <t>C</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</si>
  <si>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</si>
  <si>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</si>
  <si>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</si>
  <si>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</si>
  <si>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</si>
  <si>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</si>
  <si>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</si>
  <si>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</si>
  <si>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</si>
  <si>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</si>
  <si>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</si>
  <si>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</si>
  <si>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</si>
  <si>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</si>
  <si>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</si>
  <si>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</si>
  <si>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</si>
  <si>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</si>
  <si>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</si>
  <si>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</si>
  <si>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</si>
  <si>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</si>
  <si>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</si>
  <si>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</si>
  <si>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</si>
  <si>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</si>
  <si>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</si>
  <si>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</si>
  <si>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</si>
  <si>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</si>
  <si>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</si>
  <si>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</si>
  <si>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</si>
  <si>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Inductor</t>
  </si>
  <si>
    <r>
      <t>C</t>
    </r>
    <r>
      <rPr>
        <vertAlign val="subscript"/>
        <sz val="11"/>
        <color theme="1"/>
        <rFont val="Calibri"/>
        <family val="2"/>
        <scheme val="minor"/>
      </rPr>
      <t>COMP</t>
    </r>
  </si>
  <si>
    <r>
      <t>C</t>
    </r>
    <r>
      <rPr>
        <vertAlign val="subscript"/>
        <sz val="11"/>
        <color theme="1"/>
        <rFont val="Calibri"/>
        <family val="2"/>
        <scheme val="minor"/>
      </rPr>
      <t>HF</t>
    </r>
  </si>
  <si>
    <t>IOUT_VAR</t>
  </si>
  <si>
    <t>RHP_zero location based on the minimum input voltage</t>
  </si>
  <si>
    <t>Low frequency pole based on the minimum input voltage</t>
  </si>
  <si>
    <t>rad</t>
  </si>
  <si>
    <t>raf</t>
  </si>
  <si>
    <t>ESR zero based on the minimum input voltage</t>
  </si>
  <si>
    <t>This is based on the minimum input voltage. T</t>
  </si>
  <si>
    <t>Id_AVG</t>
  </si>
  <si>
    <t xml:space="preserve">Suggested average current rating of diode. </t>
  </si>
  <si>
    <t>Frcoss (VIN)min</t>
  </si>
  <si>
    <t>ADC_VINmin</t>
  </si>
  <si>
    <t>wp_lf_VINmin</t>
  </si>
  <si>
    <t>fp_lf_VINmin</t>
  </si>
  <si>
    <t>wz_esr_VINmin</t>
  </si>
  <si>
    <t>fz_esr_VINmin</t>
  </si>
  <si>
    <t>wz_RHP_VINmin</t>
  </si>
  <si>
    <t>fz_rhp_VINmin</t>
  </si>
  <si>
    <t>Se_VINmin</t>
  </si>
  <si>
    <t>Sn_VINmin</t>
  </si>
  <si>
    <t>wsl_VINmin</t>
  </si>
  <si>
    <t>Q_VINmin</t>
  </si>
  <si>
    <t>Vin_op_min</t>
  </si>
  <si>
    <t>Minimum operating voltage</t>
  </si>
  <si>
    <t>Maximum BIAS pin operating voltage</t>
  </si>
  <si>
    <t>Vin_op_max</t>
  </si>
  <si>
    <t>This should be set at or near the lowest RHP zero Frequency</t>
  </si>
  <si>
    <t>Maximum duty cycle at the minimum input voltage. Includes estimated efficiency for margin</t>
  </si>
  <si>
    <t>Duty cycle at the mimum input voltage (CCM). (First order/ ideal equation)</t>
  </si>
  <si>
    <t>Duty cycle at the nominal input voltage (CCM) (First order/ ideal equation)</t>
  </si>
  <si>
    <t>Duty cycle at the maximum input voltage (CCM) (First order/ ideal equation)</t>
  </si>
  <si>
    <t>DCM_Flag</t>
  </si>
  <si>
    <t>DC_rip</t>
  </si>
  <si>
    <t>CCM Operation calculations</t>
  </si>
  <si>
    <t>Select DCM duty cycle to be 70%. This will keep the ripple current fairly low and allow for efficiency drops.</t>
  </si>
  <si>
    <t>L_DCM_DC</t>
  </si>
  <si>
    <t>DC_DCM_max</t>
  </si>
  <si>
    <t>Maximum duty cycle for DCM operation. 70% is a good starting point. Could be related to the switching frequency</t>
  </si>
  <si>
    <t>M_L_DCM</t>
  </si>
  <si>
    <t>Margin to allow for inductor ripple current to be greater than the average input current</t>
  </si>
  <si>
    <t>L_DCM_M</t>
  </si>
  <si>
    <t xml:space="preserve">Inductor value that ensures the ripple current is larger than the average input current </t>
  </si>
  <si>
    <t>L_DCM</t>
  </si>
  <si>
    <t>Select the lowest of the two inductor value calculations</t>
  </si>
  <si>
    <t>If DCM is required (high step-up ratio) output L_DCM. Otherwise output the CCM inductor value</t>
  </si>
  <si>
    <t>Lm_calc</t>
  </si>
  <si>
    <t>This value used to make the selection for CCM calculations</t>
  </si>
  <si>
    <t>Duty Cycle Calculations</t>
  </si>
  <si>
    <t>Minium input voltage</t>
  </si>
  <si>
    <t>DCc_mode_VIN_min</t>
  </si>
  <si>
    <t>DCc_mode_VIN_nom</t>
  </si>
  <si>
    <t>DCc_mode_VIN_max</t>
  </si>
  <si>
    <t>IL_avg_VIN_max</t>
  </si>
  <si>
    <t>Current Sense Resistor calculated, id DCM this is going to be the value calculated without slope compensation</t>
  </si>
  <si>
    <t>External Compensation? (0-no, 1-yes), Only accurate for CCM as DCM doesn't need slope compensation</t>
  </si>
  <si>
    <t>fcross_estimate</t>
  </si>
  <si>
    <t>Itrans</t>
  </si>
  <si>
    <t>CCM Calculations</t>
  </si>
  <si>
    <t>DCM Selections</t>
  </si>
  <si>
    <t>CCM Plant Transfer Function</t>
  </si>
  <si>
    <t>DCM Plant Transfer Function</t>
  </si>
  <si>
    <t xml:space="preserve"> CCMPlant Parameters</t>
  </si>
  <si>
    <t>ADC_VIN_min_DCM</t>
  </si>
  <si>
    <t>Fm_DCM</t>
  </si>
  <si>
    <t>wp_dcm</t>
  </si>
  <si>
    <t>wz1_dcm</t>
  </si>
  <si>
    <t>wz2_dcm</t>
  </si>
  <si>
    <t>fcross_DCM</t>
  </si>
  <si>
    <r>
      <t xml:space="preserve">Conservative. Set Fcross to be 1/5th the RHP zero frequency or 1/10th SW: whichever is lower. </t>
    </r>
    <r>
      <rPr>
        <b/>
        <sz val="11"/>
        <color theme="1"/>
        <rFont val="Calibri"/>
        <family val="2"/>
        <scheme val="minor"/>
      </rPr>
      <t>Note this is just for CCM operation</t>
    </r>
  </si>
  <si>
    <t>General Loop Selections</t>
  </si>
  <si>
    <t>Rcomp_Calc_DCM</t>
  </si>
  <si>
    <t>Calcualted based on the desired Zero frequency. Set at the geometric mean between the crossover frequency and the load pole</t>
  </si>
  <si>
    <t>Calcualted based on the RHP zero frequency</t>
  </si>
  <si>
    <t>Ohm</t>
  </si>
  <si>
    <t>CCOMP_Calc_DCM</t>
  </si>
  <si>
    <t>CHF_Calc_DCM</t>
  </si>
  <si>
    <t>Rcomp_Calc_CCM</t>
  </si>
  <si>
    <t>CCOMP_calc_CCM</t>
  </si>
  <si>
    <t>CHF_Calc_CCM</t>
  </si>
  <si>
    <t>CHF_calc</t>
  </si>
  <si>
    <t>Variable output current (Can add this a different revision, not needed right now)</t>
  </si>
  <si>
    <t>RHP zero location</t>
  </si>
  <si>
    <t>Modulator gain of the PWM comparator</t>
  </si>
  <si>
    <t>DC_VIN_var_DCM</t>
  </si>
  <si>
    <t>Operating mode</t>
  </si>
  <si>
    <t>0 - DCM operation, 1- CCM opertaion</t>
  </si>
  <si>
    <t>wp_lf_DCM</t>
  </si>
  <si>
    <t>CCM Open Loop Response</t>
  </si>
  <si>
    <t>DCM Open Loop Response</t>
  </si>
  <si>
    <t>Displayed Loop Calclation</t>
  </si>
  <si>
    <t>Gain(dB)</t>
  </si>
  <si>
    <t>Phase (deg)</t>
  </si>
  <si>
    <t>RAD</t>
  </si>
  <si>
    <t>Vsl</t>
  </si>
  <si>
    <r>
      <t>External Slope Compensation Resistor</t>
    </r>
    <r>
      <rPr>
        <b/>
        <sz val="11"/>
        <color theme="1"/>
        <rFont val="Calibri"/>
        <family val="2"/>
        <scheme val="minor"/>
      </rPr>
      <t xml:space="preserve"> (No external Slope Comp for LM5127)</t>
    </r>
  </si>
  <si>
    <t>Kex</t>
  </si>
  <si>
    <t>Km</t>
  </si>
  <si>
    <t>Kd</t>
  </si>
  <si>
    <t>Slope compensation parameters. Will change pole and DC gain equation</t>
  </si>
  <si>
    <t>Sampling pole</t>
  </si>
  <si>
    <t>Q factor of the inductor sampling curve</t>
  </si>
  <si>
    <t>Always set to 1 right now for initial revision. Will only operate in CCM</t>
  </si>
  <si>
    <t>Kex_VINmin</t>
  </si>
  <si>
    <t>Km_VINmin</t>
  </si>
  <si>
    <t>Kd_VINmin</t>
  </si>
  <si>
    <t>Calculated at the minimum input voltage</t>
  </si>
  <si>
    <t>Slope compensation (VSL is refered to the current sense resistor)</t>
  </si>
  <si>
    <t>ae</t>
  </si>
  <si>
    <t>be</t>
  </si>
  <si>
    <t>Gfc</t>
  </si>
  <si>
    <r>
      <t>On-State Resistance, R</t>
    </r>
    <r>
      <rPr>
        <vertAlign val="subscript"/>
        <sz val="10"/>
        <color theme="2" tint="-0.89999084444715716"/>
        <rFont val="Arial"/>
        <family val="2"/>
      </rPr>
      <t>DS(on)</t>
    </r>
    <r>
      <rPr>
        <sz val="10"/>
        <color theme="2" tint="-0.89999084444715716"/>
        <rFont val="Arial"/>
        <family val="2"/>
      </rPr>
      <t xml:space="preserve"> </t>
    </r>
  </si>
  <si>
    <r>
      <t>Total Gate Charge, Q</t>
    </r>
    <r>
      <rPr>
        <vertAlign val="subscript"/>
        <sz val="10"/>
        <color theme="2" tint="-0.89999084444715716"/>
        <rFont val="Arial"/>
        <family val="2"/>
      </rPr>
      <t>G</t>
    </r>
    <r>
      <rPr>
        <sz val="10"/>
        <color theme="2" tint="-0.89999084444715716"/>
        <rFont val="Arial"/>
        <family val="2"/>
      </rPr>
      <t xml:space="preserve"> </t>
    </r>
  </si>
  <si>
    <r>
      <t>Gate-Drain Charge, Q</t>
    </r>
    <r>
      <rPr>
        <vertAlign val="subscript"/>
        <sz val="10"/>
        <color theme="2" tint="-0.89999084444715716"/>
        <rFont val="Arial"/>
        <family val="2"/>
      </rPr>
      <t>GD</t>
    </r>
    <r>
      <rPr>
        <sz val="10"/>
        <color theme="2" tint="-0.89999084444715716"/>
        <rFont val="Arial"/>
        <family val="2"/>
      </rPr>
      <t xml:space="preserve"> </t>
    </r>
  </si>
  <si>
    <r>
      <t>Gate-Source Charge, Q</t>
    </r>
    <r>
      <rPr>
        <vertAlign val="subscript"/>
        <sz val="10"/>
        <color theme="2" tint="-0.89999084444715716"/>
        <rFont val="Arial"/>
        <family val="2"/>
      </rPr>
      <t>GS</t>
    </r>
    <r>
      <rPr>
        <sz val="10"/>
        <color theme="2" tint="-0.89999084444715716"/>
        <rFont val="Arial"/>
        <family val="2"/>
      </rPr>
      <t xml:space="preserve"> </t>
    </r>
  </si>
  <si>
    <r>
      <t>Gate Resistance, R</t>
    </r>
    <r>
      <rPr>
        <vertAlign val="subscript"/>
        <sz val="10"/>
        <color theme="2" tint="-0.89999084444715716"/>
        <rFont val="Arial"/>
        <family val="2"/>
      </rPr>
      <t>G</t>
    </r>
    <r>
      <rPr>
        <sz val="10"/>
        <color theme="2" tint="-0.89999084444715716"/>
        <rFont val="Arial"/>
        <family val="2"/>
      </rPr>
      <t xml:space="preserve"> </t>
    </r>
  </si>
  <si>
    <r>
      <t>Gate-Source Threshold Voltage, V</t>
    </r>
    <r>
      <rPr>
        <vertAlign val="subscript"/>
        <sz val="10"/>
        <color theme="2" tint="-0.89999084444715716"/>
        <rFont val="Arial"/>
        <family val="2"/>
      </rPr>
      <t>TH</t>
    </r>
    <r>
      <rPr>
        <sz val="10"/>
        <color theme="2" tint="-0.89999084444715716"/>
        <rFont val="Arial"/>
        <family val="2"/>
      </rPr>
      <t xml:space="preserve"> </t>
    </r>
  </si>
  <si>
    <t>SW_mode</t>
  </si>
  <si>
    <t xml:space="preserve">Estimated efficiency. Assuming 100% simplify the calculations </t>
  </si>
  <si>
    <t xml:space="preserve">1: DCM operation required at VINmin to achieve the step-up ratio. 
</t>
  </si>
  <si>
    <t>2: CCM operation can achieve step-up ratio with out violating the maximum duty cycle</t>
  </si>
  <si>
    <t>DCM Operation calculations</t>
  </si>
  <si>
    <t>Indicates if the regulator is operating in CCM or DCM at full load (1 = CCM, 0 = DCM)</t>
  </si>
  <si>
    <t>Np</t>
  </si>
  <si>
    <t>Normal</t>
  </si>
  <si>
    <t>Indicates if the regulator is operating in CCM or DCM at full load (1 = CCM, 0 = DCM). If FPWM mode is selected always picks CCM operation</t>
  </si>
  <si>
    <t>ratio of down slope to slope compensation. This helps to prevent sub-harmonic oscillation in conditions where the duty cycle is &gt; 50%</t>
  </si>
  <si>
    <t>Can add this in later to make sure the dynamic range of the error amplifier is not violated</t>
  </si>
  <si>
    <t>HZ</t>
  </si>
  <si>
    <t>RMS current of the output capacitor at VIN min IOUT max. RMS current rating should be larger than this. Need to update for DCM</t>
  </si>
  <si>
    <t>*The output capcitance is based on the load transient specification. Similar to the fylback converter</t>
  </si>
  <si>
    <t>KFB</t>
  </si>
  <si>
    <t>VTRK</t>
  </si>
  <si>
    <t>TRK pin voltage to set the correct output voltage</t>
  </si>
  <si>
    <t>This is the output to the user based on the mode of operation when VIN is the minimum. Changes based on DCM or CCM operation</t>
  </si>
  <si>
    <r>
      <t>Crossover frequnecy of the</t>
    </r>
    <r>
      <rPr>
        <b/>
        <sz val="11"/>
        <color theme="1"/>
        <rFont val="Calibri"/>
        <family val="2"/>
        <scheme val="minor"/>
      </rPr>
      <t xml:space="preserve"> DCM control loop</t>
    </r>
    <r>
      <rPr>
        <sz val="11"/>
        <color theme="1"/>
        <rFont val="Calibri"/>
        <family val="2"/>
        <scheme val="minor"/>
      </rPr>
      <t>. (1/5th the RHPzero frequency), or 10th the switching frequency which ever is lower</t>
    </r>
  </si>
  <si>
    <t>Selected crossover</t>
  </si>
  <si>
    <t>DCM Operation Loop Model</t>
  </si>
  <si>
    <t>Fcross (VINvar)</t>
  </si>
  <si>
    <t>Low-Side MOSFET</t>
  </si>
  <si>
    <t>High-Side MOSFET Losses</t>
  </si>
  <si>
    <t>LOW Side MOSFET Parameters</t>
  </si>
  <si>
    <t>High Side MOSFET Parameters</t>
  </si>
  <si>
    <t>Body Diode Reverse recovery charge</t>
  </si>
  <si>
    <t>Body Diode Forward drop</t>
  </si>
  <si>
    <r>
      <t>IHS</t>
    </r>
    <r>
      <rPr>
        <vertAlign val="subscript"/>
        <sz val="11"/>
        <color theme="1"/>
        <rFont val="Calibri"/>
        <family val="2"/>
        <scheme val="minor"/>
      </rPr>
      <t>RMS</t>
    </r>
  </si>
  <si>
    <t>Dead Time losses</t>
  </si>
  <si>
    <r>
      <t>P</t>
    </r>
    <r>
      <rPr>
        <vertAlign val="subscript"/>
        <sz val="11"/>
        <color theme="1"/>
        <rFont val="Calibri"/>
        <family val="2"/>
        <scheme val="minor"/>
      </rPr>
      <t xml:space="preserve">HS_tot </t>
    </r>
    <r>
      <rPr>
        <sz val="11"/>
        <color theme="1"/>
        <rFont val="Calibri"/>
        <family val="2"/>
        <scheme val="minor"/>
      </rPr>
      <t>(W)</t>
    </r>
  </si>
  <si>
    <r>
      <t>P</t>
    </r>
    <r>
      <rPr>
        <vertAlign val="subscript"/>
        <sz val="11"/>
        <color theme="1"/>
        <rFont val="Calibri"/>
        <family val="2"/>
        <scheme val="minor"/>
      </rPr>
      <t>L_CORE</t>
    </r>
    <r>
      <rPr>
        <sz val="11"/>
        <color theme="1"/>
        <rFont val="Calibri"/>
        <family val="2"/>
        <scheme val="minor"/>
      </rPr>
      <t xml:space="preserve"> (W)</t>
    </r>
  </si>
  <si>
    <t>nest</t>
  </si>
  <si>
    <t>estimated efficiency at the peak current limit. Keep at ~95% for SYNC boost controllers</t>
  </si>
  <si>
    <t xml:space="preserve">number of phases in operation </t>
  </si>
  <si>
    <t>Maximum Ton minimum value</t>
  </si>
  <si>
    <r>
      <t>Low-Side MOSFET Parameters (Q</t>
    </r>
    <r>
      <rPr>
        <b/>
        <vertAlign val="subscript"/>
        <sz val="11"/>
        <color theme="2" tint="-0.89996032593768116"/>
        <rFont val="Calibri"/>
        <family val="2"/>
        <scheme val="minor"/>
      </rPr>
      <t>L</t>
    </r>
    <r>
      <rPr>
        <b/>
        <sz val="11"/>
        <color theme="2" tint="-0.89999084444715716"/>
        <rFont val="Calibri"/>
        <family val="2"/>
        <scheme val="minor"/>
      </rPr>
      <t>)</t>
    </r>
  </si>
  <si>
    <r>
      <t>High-Side MOSFET Parameters (Q</t>
    </r>
    <r>
      <rPr>
        <b/>
        <vertAlign val="subscript"/>
        <sz val="11"/>
        <color theme="2" tint="-0.89996032593768116"/>
        <rFont val="Calibri"/>
        <family val="2"/>
        <scheme val="minor"/>
      </rPr>
      <t>H</t>
    </r>
    <r>
      <rPr>
        <b/>
        <sz val="11"/>
        <color theme="2" tint="-0.89999084444715716"/>
        <rFont val="Calibri"/>
        <family val="2"/>
        <scheme val="minor"/>
      </rPr>
      <t>)</t>
    </r>
  </si>
  <si>
    <t>Target Output Voltage (Max should be 60V)</t>
  </si>
  <si>
    <r>
      <t xml:space="preserve"> Output Power Per Phase, P</t>
    </r>
    <r>
      <rPr>
        <vertAlign val="subscript"/>
        <sz val="10"/>
        <color theme="1"/>
        <rFont val="Calibri"/>
        <family val="2"/>
        <scheme val="minor"/>
      </rPr>
      <t>OUT</t>
    </r>
    <r>
      <rPr>
        <sz val="10"/>
        <color theme="1"/>
        <rFont val="Calibri"/>
        <family val="2"/>
        <scheme val="minor"/>
      </rPr>
      <t xml:space="preserve"> </t>
    </r>
  </si>
  <si>
    <t xml:space="preserve">ATRK </t>
  </si>
  <si>
    <t>Itrk</t>
  </si>
  <si>
    <t>Number of Phases</t>
  </si>
  <si>
    <t>uA</t>
  </si>
  <si>
    <t>I_IMON</t>
  </si>
  <si>
    <t>R_IMON_calculated</t>
  </si>
  <si>
    <t>I_IMON_reg</t>
  </si>
  <si>
    <t>Step 6: Soft-start Capacitor selection</t>
  </si>
  <si>
    <t>Step 7: Loop Compensation</t>
  </si>
  <si>
    <t>Step 8: Component Selection</t>
  </si>
  <si>
    <t>Vuvlo_on</t>
  </si>
  <si>
    <t>Desired turn on voltage</t>
  </si>
  <si>
    <t>Vuvlo_off</t>
  </si>
  <si>
    <t>Desired turn off voltage</t>
  </si>
  <si>
    <t>UV_rise</t>
  </si>
  <si>
    <t>Falling  UV threshold</t>
  </si>
  <si>
    <t>UV_fall</t>
  </si>
  <si>
    <t>Rising UV threshold</t>
  </si>
  <si>
    <t>UV_I_hyst</t>
  </si>
  <si>
    <t>UVLO circuit current hysteresis</t>
  </si>
  <si>
    <t>Ruvlo_top_calc</t>
  </si>
  <si>
    <t>Calcualted top UVLO resistor</t>
  </si>
  <si>
    <t>Selected top UVLO resistor</t>
  </si>
  <si>
    <t>Ruvlo_bottom_calc</t>
  </si>
  <si>
    <t>Vuvlo_on_act</t>
  </si>
  <si>
    <t>Actual turn on voltage</t>
  </si>
  <si>
    <t>Vuvlo_off_act</t>
  </si>
  <si>
    <t>Actual turn off voltage</t>
  </si>
  <si>
    <t>UVLO Thresholds</t>
  </si>
  <si>
    <t>Rising Threshold (See datasheet for more details)</t>
  </si>
  <si>
    <t>Falling threshold (See datasheet for more details)</t>
  </si>
  <si>
    <t>UVLO current hysteresis</t>
  </si>
  <si>
    <t>R_ATRK</t>
  </si>
  <si>
    <t>V_ATRK</t>
  </si>
  <si>
    <t>DEM</t>
  </si>
  <si>
    <t>FPWM</t>
  </si>
  <si>
    <t>selected switching mode (2 = DEM, 3 =FPWM) Will change the effieciency calculations accordingly</t>
  </si>
  <si>
    <t>Version Number</t>
  </si>
  <si>
    <t>Version History</t>
  </si>
  <si>
    <t>Version</t>
  </si>
  <si>
    <t>Change List Description</t>
  </si>
  <si>
    <t>Initial Release</t>
  </si>
  <si>
    <r>
      <t xml:space="preserve">Current sense resistor without slope compensation </t>
    </r>
    <r>
      <rPr>
        <b/>
        <sz val="11"/>
        <color theme="1"/>
        <rFont val="Calibri"/>
        <family val="2"/>
        <scheme val="minor"/>
      </rPr>
      <t>(No variable slope compensation of the LM5125)</t>
    </r>
  </si>
  <si>
    <r>
      <t>External slope compensation resistor, if DCM operation the external slope compensation is not needed. Should b 0 Ohm (</t>
    </r>
    <r>
      <rPr>
        <b/>
        <sz val="11"/>
        <color theme="1"/>
        <rFont val="Calibri"/>
        <family val="2"/>
        <scheme val="minor"/>
      </rPr>
      <t>No external slope comp in LM5125)</t>
    </r>
  </si>
  <si>
    <t>Operation Range</t>
  </si>
  <si>
    <t>IMON</t>
  </si>
  <si>
    <t>GIMON</t>
  </si>
  <si>
    <t>I_offset</t>
  </si>
  <si>
    <t>V_ILIM</t>
  </si>
  <si>
    <t>Desired total average current</t>
  </si>
  <si>
    <t>Iavg_total</t>
  </si>
  <si>
    <t>T_blank</t>
  </si>
  <si>
    <t>C_lim</t>
  </si>
  <si>
    <t>Rc</t>
  </si>
  <si>
    <t>Actual average current limit</t>
  </si>
  <si>
    <t>R_IMON_selected</t>
  </si>
  <si>
    <t>C_lim_selected</t>
  </si>
  <si>
    <t>Ruvlo_top_sel</t>
  </si>
  <si>
    <t>Ruvlo_bottom_sel</t>
  </si>
  <si>
    <t>Desired Soft-Start time</t>
  </si>
  <si>
    <t>Step 5: Average current limit with ILIM/IMON</t>
  </si>
  <si>
    <t>Step 6: CFG Settings</t>
  </si>
  <si>
    <t>Step 6: Deadtime Selection</t>
  </si>
  <si>
    <r>
      <t>Minimum Gate-Source Threshold Voltage, V</t>
    </r>
    <r>
      <rPr>
        <vertAlign val="subscript"/>
        <sz val="10"/>
        <color theme="2" tint="-0.89999084444715716"/>
        <rFont val="Arial"/>
        <family val="2"/>
      </rPr>
      <t>GS(TH)</t>
    </r>
    <r>
      <rPr>
        <sz val="10"/>
        <color theme="2" tint="-0.89999084444715716"/>
        <rFont val="Arial"/>
        <family val="2"/>
      </rPr>
      <t xml:space="preserve"> </t>
    </r>
  </si>
  <si>
    <t>Desired per phase average current</t>
  </si>
  <si>
    <t>IMON current</t>
  </si>
  <si>
    <t>Step 6: UVLO Resistor Selection</t>
  </si>
  <si>
    <t>Selected R_IMON</t>
  </si>
  <si>
    <t>Suggested R_IMON</t>
  </si>
  <si>
    <t>Blank time for peak power</t>
  </si>
  <si>
    <t>Suggested C_IMON</t>
  </si>
  <si>
    <t>Selected C_IMON</t>
  </si>
  <si>
    <t>Suggested Rc</t>
  </si>
  <si>
    <r>
      <t>Input capacitance of low side FET, C</t>
    </r>
    <r>
      <rPr>
        <vertAlign val="subscript"/>
        <sz val="11"/>
        <color theme="1"/>
        <rFont val="Calibri"/>
        <family val="2"/>
        <scheme val="minor"/>
      </rPr>
      <t>ISS</t>
    </r>
  </si>
  <si>
    <r>
      <t>Gate Resistance of low side FET, R</t>
    </r>
    <r>
      <rPr>
        <vertAlign val="subscript"/>
        <sz val="11"/>
        <rFont val="Calibri"/>
        <family val="2"/>
        <scheme val="minor"/>
      </rPr>
      <t>G</t>
    </r>
  </si>
  <si>
    <t>CISS</t>
  </si>
  <si>
    <t>Rg</t>
  </si>
  <si>
    <t>Vgsth</t>
  </si>
  <si>
    <t>Td</t>
  </si>
  <si>
    <t>ns</t>
  </si>
  <si>
    <t>Driver</t>
  </si>
  <si>
    <t>Rg_int</t>
  </si>
  <si>
    <t>ohm</t>
  </si>
  <si>
    <t>Light Load Operation Switching Mode</t>
  </si>
  <si>
    <r>
      <t>Free Running Oscillator Set Resistor, R</t>
    </r>
    <r>
      <rPr>
        <vertAlign val="subscript"/>
        <sz val="10"/>
        <color theme="1"/>
        <rFont val="Calibri"/>
        <family val="2"/>
        <scheme val="minor"/>
      </rPr>
      <t>T</t>
    </r>
  </si>
  <si>
    <r>
      <t>V</t>
    </r>
    <r>
      <rPr>
        <vertAlign val="subscript"/>
        <sz val="10"/>
        <color theme="1"/>
        <rFont val="Calibri"/>
        <family val="2"/>
        <scheme val="minor"/>
      </rPr>
      <t>OUT</t>
    </r>
    <r>
      <rPr>
        <sz val="10"/>
        <color theme="1"/>
        <rFont val="Calibri"/>
        <family val="2"/>
        <scheme val="minor"/>
      </rPr>
      <t xml:space="preserve"> Programming ATRK/DTRK Pin Resistor, R</t>
    </r>
    <r>
      <rPr>
        <vertAlign val="subscript"/>
        <sz val="10"/>
        <color theme="1"/>
        <rFont val="Calibri"/>
        <family val="2"/>
        <scheme val="minor"/>
      </rPr>
      <t>ATRK</t>
    </r>
  </si>
  <si>
    <r>
      <t>Maximum Input Capacitance of Low Side FET, C</t>
    </r>
    <r>
      <rPr>
        <vertAlign val="subscript"/>
        <sz val="10"/>
        <color theme="1"/>
        <rFont val="Calibri"/>
        <family val="2"/>
        <scheme val="minor"/>
      </rPr>
      <t>ISS</t>
    </r>
  </si>
  <si>
    <r>
      <t>Selected Current Monitoring Resistor, R</t>
    </r>
    <r>
      <rPr>
        <vertAlign val="subscript"/>
        <sz val="10"/>
        <color theme="1"/>
        <rFont val="Calibri"/>
        <family val="2"/>
        <scheme val="minor"/>
      </rPr>
      <t>IMON</t>
    </r>
  </si>
  <si>
    <r>
      <t>Suggested Average Current Limit Capacitor, C</t>
    </r>
    <r>
      <rPr>
        <vertAlign val="subscript"/>
        <sz val="10"/>
        <color theme="1"/>
        <rFont val="Calibri"/>
        <family val="2"/>
        <scheme val="minor"/>
      </rPr>
      <t>IMON</t>
    </r>
  </si>
  <si>
    <r>
      <t>Selected Current Limit Capacitor, C</t>
    </r>
    <r>
      <rPr>
        <vertAlign val="subscript"/>
        <sz val="10"/>
        <color theme="1"/>
        <rFont val="Calibri"/>
        <family val="2"/>
        <scheme val="minor"/>
      </rPr>
      <t>IMON</t>
    </r>
  </si>
  <si>
    <t>CFG0</t>
  </si>
  <si>
    <t>ON</t>
  </si>
  <si>
    <t>OFF</t>
  </si>
  <si>
    <t>OVP</t>
  </si>
  <si>
    <t>CFG1</t>
  </si>
  <si>
    <t>OVP bit 0</t>
  </si>
  <si>
    <t>DRSS</t>
  </si>
  <si>
    <t>ICL_latch</t>
  </si>
  <si>
    <t>PG OVP_EN</t>
  </si>
  <si>
    <t>CFG2</t>
  </si>
  <si>
    <t>Single/dual chip</t>
  </si>
  <si>
    <t>single int clk</t>
  </si>
  <si>
    <t>phase shift</t>
  </si>
  <si>
    <t>SYNCIN</t>
  </si>
  <si>
    <t>SYNCO</t>
  </si>
  <si>
    <t>DRSS ON?</t>
  </si>
  <si>
    <r>
      <t>Required Peak Current Limit, I</t>
    </r>
    <r>
      <rPr>
        <vertAlign val="subscript"/>
        <sz val="10"/>
        <color theme="1"/>
        <rFont val="Calibri"/>
        <family val="2"/>
        <scheme val="minor"/>
      </rPr>
      <t>PK</t>
    </r>
    <r>
      <rPr>
        <sz val="10"/>
        <color theme="1"/>
        <rFont val="Calibri"/>
        <family val="2"/>
        <scheme val="minor"/>
      </rPr>
      <t xml:space="preserve"> </t>
    </r>
  </si>
  <si>
    <t>NO</t>
  </si>
  <si>
    <t>YES</t>
  </si>
  <si>
    <t>PGOOD Go Low when OVP?</t>
  </si>
  <si>
    <t>CFG1_OVP_bit</t>
  </si>
  <si>
    <t>CFG2_OVP_bit</t>
  </si>
  <si>
    <t>Minimum deadtime</t>
  </si>
  <si>
    <t>single ext clk</t>
  </si>
  <si>
    <t>Primary 3ph int clk</t>
  </si>
  <si>
    <t>Primary 4ph int clk</t>
  </si>
  <si>
    <t>Primary 3ph ext clk</t>
  </si>
  <si>
    <t>Primary 4ph ext clk</t>
  </si>
  <si>
    <t>Secondary</t>
  </si>
  <si>
    <t>SYNCOUT</t>
  </si>
  <si>
    <t>Syncout</t>
  </si>
  <si>
    <t>120°</t>
  </si>
  <si>
    <t>90°</t>
  </si>
  <si>
    <t>2nd phase shift</t>
  </si>
  <si>
    <t>OVP bit 1</t>
  </si>
  <si>
    <r>
      <rPr>
        <sz val="10"/>
        <rFont val="Calibri"/>
        <family val="2"/>
        <scheme val="minor"/>
      </rPr>
      <t>Total Gate Resistance of Low Side FET, R</t>
    </r>
    <r>
      <rPr>
        <vertAlign val="subscript"/>
        <sz val="10"/>
        <rFont val="Calibri"/>
        <family val="2"/>
        <scheme val="minor"/>
      </rPr>
      <t>gate</t>
    </r>
  </si>
  <si>
    <t>Total blank time</t>
  </si>
  <si>
    <r>
      <t xml:space="preserve">Step 2: Boost Inductor </t>
    </r>
    <r>
      <rPr>
        <sz val="11"/>
        <color rgb="FF0070C0"/>
        <rFont val="Calibri"/>
        <family val="2"/>
        <scheme val="minor"/>
      </rPr>
      <t>(per phase)</t>
    </r>
  </si>
  <si>
    <r>
      <t xml:space="preserve">Desired load step ripple voltage, </t>
    </r>
    <r>
      <rPr>
        <sz val="10"/>
        <color theme="1"/>
        <rFont val="Calibri"/>
        <family val="2"/>
      </rPr>
      <t>ΔV</t>
    </r>
    <r>
      <rPr>
        <vertAlign val="subscript"/>
        <sz val="10"/>
        <color theme="1"/>
        <rFont val="Calibri"/>
        <family val="2"/>
      </rPr>
      <t>OUT</t>
    </r>
  </si>
  <si>
    <r>
      <t xml:space="preserve">Step 3: Current Sense Resistor Selection </t>
    </r>
    <r>
      <rPr>
        <sz val="11"/>
        <color rgb="FF0070C0"/>
        <rFont val="Calibri"/>
        <family val="2"/>
        <scheme val="minor"/>
      </rPr>
      <t>(per phase)</t>
    </r>
  </si>
  <si>
    <r>
      <t xml:space="preserve"> Latch if exceed 120% I</t>
    </r>
    <r>
      <rPr>
        <vertAlign val="subscript"/>
        <sz val="10"/>
        <color theme="1"/>
        <rFont val="Calibri"/>
        <family val="2"/>
        <scheme val="minor"/>
      </rPr>
      <t>PK</t>
    </r>
    <r>
      <rPr>
        <sz val="10"/>
        <color theme="1"/>
        <rFont val="Calibri"/>
        <family val="2"/>
        <scheme val="minor"/>
      </rPr>
      <t xml:space="preserve"> ?</t>
    </r>
  </si>
  <si>
    <t>Estimate to be 1/5 the RHP zero frequency. Pick based on DCM or CCM operation.</t>
  </si>
  <si>
    <r>
      <t>Peak Inductor Current at V</t>
    </r>
    <r>
      <rPr>
        <vertAlign val="subscript"/>
        <sz val="10"/>
        <color theme="1"/>
        <rFont val="Calibri"/>
        <family val="2"/>
        <scheme val="minor"/>
      </rPr>
      <t>SUPPLY(min)</t>
    </r>
    <r>
      <rPr>
        <sz val="10"/>
        <color theme="1"/>
        <rFont val="Calibri"/>
        <family val="2"/>
        <scheme val="minor"/>
      </rPr>
      <t xml:space="preserve"> , IL</t>
    </r>
    <r>
      <rPr>
        <vertAlign val="subscript"/>
        <sz val="10"/>
        <color theme="1"/>
        <rFont val="Calibri"/>
        <family val="2"/>
        <scheme val="minor"/>
      </rPr>
      <t>PK</t>
    </r>
  </si>
  <si>
    <r>
      <t>Selected Total Output Capacitance, C</t>
    </r>
    <r>
      <rPr>
        <vertAlign val="subscript"/>
        <sz val="10"/>
        <rFont val="Calibri"/>
        <family val="2"/>
        <scheme val="minor"/>
      </rPr>
      <t>OUT</t>
    </r>
  </si>
  <si>
    <r>
      <t>Equivalent Series Resistance (ESR) of C</t>
    </r>
    <r>
      <rPr>
        <vertAlign val="subscript"/>
        <sz val="10"/>
        <color theme="1"/>
        <rFont val="Calibri"/>
        <family val="2"/>
        <scheme val="minor"/>
      </rPr>
      <t>OUT</t>
    </r>
    <r>
      <rPr>
        <sz val="10"/>
        <color theme="1"/>
        <rFont val="Calibri"/>
        <family val="2"/>
        <scheme val="minor"/>
      </rPr>
      <t xml:space="preserve"> , R</t>
    </r>
    <r>
      <rPr>
        <vertAlign val="subscript"/>
        <sz val="10"/>
        <color theme="1"/>
        <rFont val="Calibri"/>
        <family val="2"/>
        <scheme val="minor"/>
      </rPr>
      <t>ESR</t>
    </r>
  </si>
  <si>
    <t>D_DTRK</t>
  </si>
  <si>
    <r>
      <t>Inductor DCR, R</t>
    </r>
    <r>
      <rPr>
        <vertAlign val="subscript"/>
        <sz val="10"/>
        <color theme="1"/>
        <rFont val="Calibri"/>
        <family val="2"/>
        <scheme val="minor"/>
      </rPr>
      <t>DCR</t>
    </r>
  </si>
  <si>
    <r>
      <t>Actual Inductor Peak Current Limit, I</t>
    </r>
    <r>
      <rPr>
        <vertAlign val="subscript"/>
        <sz val="10"/>
        <color theme="1"/>
        <rFont val="Calibri"/>
        <family val="2"/>
        <scheme val="minor"/>
      </rPr>
      <t xml:space="preserve">PK </t>
    </r>
  </si>
  <si>
    <t>180°</t>
  </si>
  <si>
    <t>240°</t>
  </si>
  <si>
    <t>Required PWM Duty Cycle by DTRK</t>
  </si>
  <si>
    <r>
      <t>Minimum Total Output Capacitance, C</t>
    </r>
    <r>
      <rPr>
        <vertAlign val="subscript"/>
        <sz val="10"/>
        <color theme="1"/>
        <rFont val="Calibri"/>
        <family val="2"/>
        <scheme val="minor"/>
      </rPr>
      <t xml:space="preserve">OUT_min </t>
    </r>
  </si>
  <si>
    <r>
      <t>Desired Total Average Current Limit, I</t>
    </r>
    <r>
      <rPr>
        <vertAlign val="subscript"/>
        <sz val="10"/>
        <color theme="1"/>
        <rFont val="Calibri"/>
        <family val="2"/>
        <scheme val="minor"/>
      </rPr>
      <t>lim</t>
    </r>
  </si>
  <si>
    <r>
      <t>Actual Total Average Current Limit, I</t>
    </r>
    <r>
      <rPr>
        <vertAlign val="subscript"/>
        <sz val="10"/>
        <color theme="1"/>
        <rFont val="Calibri"/>
        <family val="2"/>
        <scheme val="minor"/>
      </rPr>
      <t>lim</t>
    </r>
  </si>
  <si>
    <t>Transient input current</t>
  </si>
  <si>
    <r>
      <t>Required Blanking Time, t</t>
    </r>
    <r>
      <rPr>
        <vertAlign val="subscript"/>
        <sz val="10"/>
        <color theme="1"/>
        <rFont val="Calibri"/>
        <family val="2"/>
        <scheme val="minor"/>
      </rPr>
      <t>B</t>
    </r>
  </si>
  <si>
    <t>Step 5: Output Voltage Programming</t>
  </si>
  <si>
    <t>Step 6: Average current limit with ILIM/IMON</t>
  </si>
  <si>
    <t>Step 7: Deadtime Selection</t>
  </si>
  <si>
    <t xml:space="preserve">Step 9: UVLO Resistor Divider Selection </t>
  </si>
  <si>
    <t>Step 10: Soft-Start Capacitor Selection</t>
  </si>
  <si>
    <t>Step  11: Loop Compensation</t>
  </si>
  <si>
    <r>
      <t>Required Minimum Deadtime, T</t>
    </r>
    <r>
      <rPr>
        <vertAlign val="subscript"/>
        <sz val="10"/>
        <color theme="1"/>
        <rFont val="Calibri"/>
        <family val="2"/>
        <scheme val="minor"/>
      </rPr>
      <t>d</t>
    </r>
  </si>
  <si>
    <t>Step 8: CFG Selection</t>
  </si>
  <si>
    <t>0:OFF; 1:CFG1 determine DRSS</t>
  </si>
  <si>
    <t>Deadtime</t>
  </si>
  <si>
    <t>Deadtime: 30ns</t>
  </si>
  <si>
    <t>Deadtime: 50ns</t>
  </si>
  <si>
    <t>Deadtime: 75ns</t>
  </si>
  <si>
    <t>Deadtime: 100ns</t>
  </si>
  <si>
    <t>Deadtime: 125ns</t>
  </si>
  <si>
    <t>Deadtime: 150ns</t>
  </si>
  <si>
    <t>Deadtime: 200ns</t>
  </si>
  <si>
    <t>&lt;0.1</t>
  </si>
  <si>
    <t>0.48~0.54</t>
  </si>
  <si>
    <t>1.00~1.30</t>
  </si>
  <si>
    <t>1.81~2.00</t>
  </si>
  <si>
    <t>2.57~2.84</t>
  </si>
  <si>
    <t>3.61~3.99</t>
  </si>
  <si>
    <t>4.85~5.36</t>
  </si>
  <si>
    <t>6.18~6.83</t>
  </si>
  <si>
    <t>7.89~8.72</t>
  </si>
  <si>
    <t>9.98~11.03</t>
  </si>
  <si>
    <t>12.64~13.97</t>
  </si>
  <si>
    <t>15.39~17.01</t>
  </si>
  <si>
    <t>19.48~21.53</t>
  </si>
  <si>
    <t>23.66~26.15</t>
  </si>
  <si>
    <t>28.60~31.61</t>
  </si>
  <si>
    <t>34.68~38.33</t>
  </si>
  <si>
    <t>Selected Deadtime Lv</t>
  </si>
  <si>
    <t>CFG0 Lv</t>
  </si>
  <si>
    <t>DRSS: ON</t>
  </si>
  <si>
    <t>DRSS: OFF</t>
  </si>
  <si>
    <r>
      <t>I</t>
    </r>
    <r>
      <rPr>
        <vertAlign val="subscript"/>
        <sz val="11"/>
        <color theme="1"/>
        <rFont val="Calibri"/>
        <family val="2"/>
        <scheme val="minor"/>
      </rPr>
      <t>CL_latch</t>
    </r>
    <r>
      <rPr>
        <sz val="11"/>
        <color theme="1"/>
        <rFont val="Calibri"/>
        <family val="2"/>
        <scheme val="minor"/>
      </rPr>
      <t>: Enable</t>
    </r>
  </si>
  <si>
    <r>
      <t>I</t>
    </r>
    <r>
      <rPr>
        <vertAlign val="subscript"/>
        <sz val="11"/>
        <color theme="1"/>
        <rFont val="Calibri"/>
        <family val="2"/>
        <scheme val="minor"/>
      </rPr>
      <t>CL_latch</t>
    </r>
    <r>
      <rPr>
        <sz val="11"/>
        <color theme="1"/>
        <rFont val="Calibri"/>
        <family val="2"/>
        <scheme val="minor"/>
      </rPr>
      <t>: Disable</t>
    </r>
  </si>
  <si>
    <t>R_CFG</t>
  </si>
  <si>
    <t>Lv</t>
  </si>
  <si>
    <r>
      <t>ATRK 20</t>
    </r>
    <r>
      <rPr>
        <sz val="11"/>
        <color theme="1"/>
        <rFont val="Times New Roman"/>
        <family val="1"/>
      </rPr>
      <t>µ</t>
    </r>
    <r>
      <rPr>
        <sz val="11"/>
        <color theme="1"/>
        <rFont val="Calibri"/>
        <family val="2"/>
        <scheme val="minor"/>
      </rPr>
      <t>A: ON</t>
    </r>
  </si>
  <si>
    <t>ATRK 20µA: OFF</t>
  </si>
  <si>
    <t>20uA ATRK ON lv</t>
  </si>
  <si>
    <t>OV pulldown PGOOD: No</t>
  </si>
  <si>
    <t>OV pulldown PGOOD: Yes</t>
  </si>
  <si>
    <t>CFG1 Lv</t>
  </si>
  <si>
    <t>Single Internal Clock</t>
  </si>
  <si>
    <t>Single chip</t>
  </si>
  <si>
    <t>CFG2 Lv</t>
  </si>
  <si>
    <t>Clock: Internal (RT)</t>
  </si>
  <si>
    <t>Internal clock</t>
  </si>
  <si>
    <t>Phases/Primary</t>
  </si>
  <si>
    <t>Internal clock to use</t>
  </si>
  <si>
    <t>DRSS ON?(Check)</t>
  </si>
  <si>
    <t>DRSS:</t>
  </si>
  <si>
    <t>DRSS warning</t>
  </si>
  <si>
    <t>1:ON;2OFF</t>
  </si>
  <si>
    <t>DRSS_CFG2</t>
  </si>
  <si>
    <r>
      <t>Transient Input Current, I</t>
    </r>
    <r>
      <rPr>
        <vertAlign val="subscript"/>
        <sz val="10"/>
        <color theme="1"/>
        <rFont val="Calibri"/>
        <family val="2"/>
        <scheme val="minor"/>
      </rPr>
      <t>tr</t>
    </r>
  </si>
  <si>
    <t>I_MON_tr</t>
  </si>
  <si>
    <t>V_IMON_0A</t>
  </si>
  <si>
    <r>
      <t>Total Blanking Time,t</t>
    </r>
    <r>
      <rPr>
        <vertAlign val="subscript"/>
        <sz val="10"/>
        <color theme="1"/>
        <rFont val="Calibri"/>
        <family val="2"/>
        <scheme val="minor"/>
      </rPr>
      <t>B</t>
    </r>
    <r>
      <rPr>
        <sz val="10"/>
        <color theme="1"/>
        <rFont val="Calibri"/>
        <family val="2"/>
        <scheme val="minor"/>
      </rPr>
      <t xml:space="preserve"> </t>
    </r>
  </si>
  <si>
    <t>tb_selected</t>
  </si>
  <si>
    <t>tDLY</t>
  </si>
  <si>
    <t>DLY cap</t>
  </si>
  <si>
    <t>C_DLY</t>
  </si>
  <si>
    <t>blank time by DLY</t>
  </si>
  <si>
    <t>Blank time by Cb_slected</t>
  </si>
  <si>
    <t>1.0</t>
  </si>
  <si>
    <t>PH</t>
  </si>
  <si>
    <r>
      <t>Suggested Compensation Resistor, R</t>
    </r>
    <r>
      <rPr>
        <vertAlign val="subscript"/>
        <sz val="10"/>
        <color theme="1"/>
        <rFont val="Calibri"/>
        <family val="2"/>
        <scheme val="minor"/>
      </rPr>
      <t>C</t>
    </r>
    <r>
      <rPr>
        <sz val="10"/>
        <color theme="1"/>
        <rFont val="Calibri"/>
        <family val="2"/>
        <scheme val="minor"/>
      </rPr>
      <t>_</t>
    </r>
    <r>
      <rPr>
        <vertAlign val="subscript"/>
        <sz val="10"/>
        <color theme="1"/>
        <rFont val="Calibri"/>
        <family val="2"/>
        <scheme val="minor"/>
      </rPr>
      <t>IMON</t>
    </r>
  </si>
  <si>
    <r>
      <t>Total Output Power, P</t>
    </r>
    <r>
      <rPr>
        <vertAlign val="subscript"/>
        <sz val="10"/>
        <color theme="1"/>
        <rFont val="Calibri"/>
        <family val="2"/>
        <scheme val="minor"/>
      </rPr>
      <t>OUT_total</t>
    </r>
  </si>
  <si>
    <r>
      <t>Minimum Input Supply Voltage , V</t>
    </r>
    <r>
      <rPr>
        <vertAlign val="subscript"/>
        <sz val="10"/>
        <color theme="1"/>
        <rFont val="Calibri"/>
        <family val="2"/>
        <scheme val="minor"/>
      </rPr>
      <t>in(min)</t>
    </r>
    <r>
      <rPr>
        <sz val="10"/>
        <color theme="1"/>
        <rFont val="Calibri"/>
        <family val="2"/>
        <scheme val="minor"/>
      </rPr>
      <t xml:space="preserve"> </t>
    </r>
  </si>
  <si>
    <r>
      <t>Typical Input Supply Voltage, V</t>
    </r>
    <r>
      <rPr>
        <vertAlign val="subscript"/>
        <sz val="10"/>
        <color theme="1"/>
        <rFont val="Calibri"/>
        <family val="2"/>
        <scheme val="minor"/>
      </rPr>
      <t>in(typ)</t>
    </r>
    <r>
      <rPr>
        <sz val="10"/>
        <color theme="1"/>
        <rFont val="Calibri"/>
        <family val="2"/>
        <scheme val="minor"/>
      </rPr>
      <t xml:space="preserve"> </t>
    </r>
  </si>
  <si>
    <r>
      <t>Maximum Input Supply Voltage , V</t>
    </r>
    <r>
      <rPr>
        <vertAlign val="subscript"/>
        <sz val="10"/>
        <color theme="1"/>
        <rFont val="Calibri"/>
        <family val="2"/>
        <scheme val="minor"/>
      </rPr>
      <t>in(max)</t>
    </r>
    <r>
      <rPr>
        <sz val="10"/>
        <color theme="1"/>
        <rFont val="Calibri"/>
        <family val="2"/>
        <scheme val="minor"/>
      </rPr>
      <t xml:space="preserve"> </t>
    </r>
  </si>
  <si>
    <r>
      <t>Maximum Output Current , I</t>
    </r>
    <r>
      <rPr>
        <vertAlign val="subscript"/>
        <sz val="10"/>
        <color theme="1"/>
        <rFont val="Calibri"/>
        <family val="2"/>
        <scheme val="minor"/>
      </rPr>
      <t>OUT</t>
    </r>
  </si>
  <si>
    <r>
      <t>Output Target Voltage, V</t>
    </r>
    <r>
      <rPr>
        <vertAlign val="subscript"/>
        <sz val="10"/>
        <color theme="1"/>
        <rFont val="Calibri"/>
        <family val="2"/>
        <scheme val="minor"/>
      </rPr>
      <t>OUT</t>
    </r>
  </si>
  <si>
    <r>
      <t>Boost Converter Duty Cycle Limit of LM5125 at V</t>
    </r>
    <r>
      <rPr>
        <vertAlign val="subscript"/>
        <sz val="10"/>
        <color theme="1"/>
        <rFont val="Calibri"/>
        <family val="2"/>
        <scheme val="minor"/>
      </rPr>
      <t>in(min)</t>
    </r>
  </si>
  <si>
    <r>
      <t>Ideal Duty Cycle at V</t>
    </r>
    <r>
      <rPr>
        <vertAlign val="subscript"/>
        <sz val="10"/>
        <color theme="1"/>
        <rFont val="Calibri"/>
        <family val="2"/>
        <scheme val="minor"/>
      </rPr>
      <t xml:space="preserve">in(min) </t>
    </r>
  </si>
  <si>
    <r>
      <t>Switching mode at V</t>
    </r>
    <r>
      <rPr>
        <vertAlign val="subscript"/>
        <sz val="10"/>
        <color theme="1"/>
        <rFont val="Calibri"/>
        <family val="2"/>
        <scheme val="minor"/>
      </rPr>
      <t>in(min)</t>
    </r>
  </si>
  <si>
    <r>
      <t>Suggested Inductance, L</t>
    </r>
    <r>
      <rPr>
        <vertAlign val="subscript"/>
        <sz val="10"/>
        <color theme="1"/>
        <rFont val="Calibri"/>
        <family val="2"/>
        <scheme val="minor"/>
      </rPr>
      <t>m</t>
    </r>
  </si>
  <si>
    <r>
      <t>Selected Inductance, L</t>
    </r>
    <r>
      <rPr>
        <vertAlign val="subscript"/>
        <sz val="10"/>
        <color theme="1"/>
        <rFont val="Calibri"/>
        <family val="2"/>
        <scheme val="minor"/>
      </rPr>
      <t>m</t>
    </r>
  </si>
  <si>
    <r>
      <t>Recommended Current Sense Resistor, R</t>
    </r>
    <r>
      <rPr>
        <vertAlign val="subscript"/>
        <sz val="10"/>
        <color theme="1"/>
        <rFont val="Calibri"/>
        <family val="2"/>
        <scheme val="minor"/>
      </rPr>
      <t>CS</t>
    </r>
  </si>
  <si>
    <r>
      <t>Selected Current Sense Resistor, R</t>
    </r>
    <r>
      <rPr>
        <vertAlign val="subscript"/>
        <sz val="10"/>
        <color theme="1"/>
        <rFont val="Calibri"/>
        <family val="2"/>
        <scheme val="minor"/>
      </rPr>
      <t>CS</t>
    </r>
  </si>
  <si>
    <r>
      <t>Required Voltage by ATRK, V</t>
    </r>
    <r>
      <rPr>
        <vertAlign val="subscript"/>
        <sz val="10"/>
        <color theme="1"/>
        <rFont val="Calibri"/>
        <family val="2"/>
        <scheme val="minor"/>
      </rPr>
      <t>ATRK</t>
    </r>
  </si>
  <si>
    <r>
      <t>Selected Delay Capacitor, C</t>
    </r>
    <r>
      <rPr>
        <vertAlign val="subscript"/>
        <sz val="10"/>
        <color theme="1"/>
        <rFont val="Calibri"/>
        <family val="2"/>
        <scheme val="minor"/>
      </rPr>
      <t>DLY</t>
    </r>
  </si>
  <si>
    <r>
      <t>Desired voltage On, V</t>
    </r>
    <r>
      <rPr>
        <vertAlign val="subscript"/>
        <sz val="10"/>
        <color theme="1"/>
        <rFont val="Calibri"/>
        <family val="2"/>
        <scheme val="minor"/>
      </rPr>
      <t>UVLO_ON</t>
    </r>
  </si>
  <si>
    <r>
      <t>Desired voltage OFF, V</t>
    </r>
    <r>
      <rPr>
        <vertAlign val="subscript"/>
        <sz val="10"/>
        <color theme="1"/>
        <rFont val="Calibri"/>
        <family val="2"/>
        <scheme val="minor"/>
      </rPr>
      <t>UVLO_OFF</t>
    </r>
  </si>
  <si>
    <r>
      <t>Calculated top UVLO resistor value, R</t>
    </r>
    <r>
      <rPr>
        <vertAlign val="subscript"/>
        <sz val="10"/>
        <color theme="1"/>
        <rFont val="Calibri"/>
        <family val="2"/>
        <scheme val="minor"/>
      </rPr>
      <t>UVT_CALC</t>
    </r>
  </si>
  <si>
    <r>
      <t>Selected top UVLO resistor value, R</t>
    </r>
    <r>
      <rPr>
        <vertAlign val="subscript"/>
        <sz val="10"/>
        <color theme="1"/>
        <rFont val="Calibri"/>
        <family val="2"/>
        <scheme val="minor"/>
      </rPr>
      <t>UVT</t>
    </r>
  </si>
  <si>
    <r>
      <t>Suggested bottom UVLO Resistor, R</t>
    </r>
    <r>
      <rPr>
        <vertAlign val="subscript"/>
        <sz val="10"/>
        <color theme="1"/>
        <rFont val="Calibri"/>
        <family val="2"/>
        <scheme val="minor"/>
      </rPr>
      <t>UVB</t>
    </r>
  </si>
  <si>
    <r>
      <t>Actual voltage On, V</t>
    </r>
    <r>
      <rPr>
        <vertAlign val="subscript"/>
        <sz val="10"/>
        <color theme="1"/>
        <rFont val="Calibri"/>
        <family val="2"/>
        <scheme val="minor"/>
      </rPr>
      <t>UVLO_ON</t>
    </r>
  </si>
  <si>
    <r>
      <t>Actual voltage Off, V</t>
    </r>
    <r>
      <rPr>
        <vertAlign val="subscript"/>
        <sz val="10"/>
        <color theme="1"/>
        <rFont val="Calibri"/>
        <family val="2"/>
        <scheme val="minor"/>
      </rPr>
      <t>UVLO_OFF</t>
    </r>
  </si>
  <si>
    <r>
      <t>Suggested minimum soft-start capacitor, C</t>
    </r>
    <r>
      <rPr>
        <vertAlign val="subscript"/>
        <sz val="10"/>
        <color theme="1"/>
        <rFont val="Calibri"/>
        <family val="2"/>
        <scheme val="minor"/>
      </rPr>
      <t>SS_MIN</t>
    </r>
  </si>
  <si>
    <r>
      <t>Desied soft-start time at minimum input voltage, T</t>
    </r>
    <r>
      <rPr>
        <vertAlign val="subscript"/>
        <sz val="10"/>
        <color theme="1"/>
        <rFont val="Calibri"/>
        <family val="2"/>
        <scheme val="minor"/>
      </rPr>
      <t>SS</t>
    </r>
  </si>
  <si>
    <r>
      <t>Calculated soft-start capacitor, C</t>
    </r>
    <r>
      <rPr>
        <vertAlign val="subscript"/>
        <sz val="10"/>
        <color theme="1"/>
        <rFont val="Calibri"/>
        <family val="2"/>
        <scheme val="minor"/>
      </rPr>
      <t>SS</t>
    </r>
  </si>
  <si>
    <r>
      <t>VIN selected, V</t>
    </r>
    <r>
      <rPr>
        <vertAlign val="subscript"/>
        <sz val="10"/>
        <rFont val="Calibri"/>
        <family val="2"/>
        <scheme val="minor"/>
      </rPr>
      <t>IN_VAR</t>
    </r>
  </si>
  <si>
    <r>
      <t>VOUT selected, VOUT</t>
    </r>
    <r>
      <rPr>
        <vertAlign val="subscript"/>
        <sz val="10"/>
        <rFont val="Calibri"/>
        <family val="2"/>
        <scheme val="minor"/>
      </rPr>
      <t>_VAR</t>
    </r>
  </si>
  <si>
    <r>
      <t>Total IOUT selected, IOUT</t>
    </r>
    <r>
      <rPr>
        <vertAlign val="subscript"/>
        <sz val="10"/>
        <rFont val="Calibri"/>
        <family val="2"/>
        <scheme val="minor"/>
      </rPr>
      <t>_VAR</t>
    </r>
  </si>
  <si>
    <r>
      <t>On-State Resistance, R</t>
    </r>
    <r>
      <rPr>
        <vertAlign val="subscript"/>
        <sz val="10"/>
        <color theme="2" tint="-0.89999084444715716"/>
        <rFont val="Arial"/>
        <family val="2"/>
      </rPr>
      <t>DS(on)</t>
    </r>
  </si>
  <si>
    <r>
      <t>Total Gate Charge, Q</t>
    </r>
    <r>
      <rPr>
        <vertAlign val="subscript"/>
        <sz val="10"/>
        <color theme="2" tint="-0.89999084444715716"/>
        <rFont val="Arial"/>
        <family val="2"/>
      </rPr>
      <t>G</t>
    </r>
  </si>
  <si>
    <r>
      <t>Gate-Drain Charge, Q</t>
    </r>
    <r>
      <rPr>
        <vertAlign val="subscript"/>
        <sz val="10"/>
        <color theme="2" tint="-0.89999084444715716"/>
        <rFont val="Arial"/>
        <family val="2"/>
      </rPr>
      <t>GD</t>
    </r>
  </si>
  <si>
    <r>
      <t>Gate-Source Charge, Q</t>
    </r>
    <r>
      <rPr>
        <vertAlign val="subscript"/>
        <sz val="10"/>
        <color theme="2" tint="-0.89999084444715716"/>
        <rFont val="Arial"/>
        <family val="2"/>
      </rPr>
      <t>GS</t>
    </r>
  </si>
  <si>
    <r>
      <t>Gate Resistance, R</t>
    </r>
    <r>
      <rPr>
        <vertAlign val="subscript"/>
        <sz val="10"/>
        <color theme="2" tint="-0.89999084444715716"/>
        <rFont val="Arial"/>
        <family val="2"/>
      </rPr>
      <t>G</t>
    </r>
  </si>
  <si>
    <r>
      <t>Gate-Source Threshold Voltage, V</t>
    </r>
    <r>
      <rPr>
        <vertAlign val="subscript"/>
        <sz val="10"/>
        <color theme="2" tint="-0.89999084444715716"/>
        <rFont val="Arial"/>
        <family val="2"/>
      </rPr>
      <t>TH</t>
    </r>
  </si>
  <si>
    <r>
      <t>Body Diode Reverse Recovery Charge Q</t>
    </r>
    <r>
      <rPr>
        <vertAlign val="subscript"/>
        <sz val="10"/>
        <color theme="2" tint="-0.89996032593768116"/>
        <rFont val="Arial"/>
        <family val="2"/>
      </rPr>
      <t>RR</t>
    </r>
  </si>
  <si>
    <r>
      <t>Body Diode Forward Voltage Drop V</t>
    </r>
    <r>
      <rPr>
        <vertAlign val="subscript"/>
        <sz val="10"/>
        <color theme="2" tint="-0.89996032593768116"/>
        <rFont val="Arial"/>
        <family val="2"/>
      </rPr>
      <t>D_BD</t>
    </r>
  </si>
  <si>
    <t>VIMON</t>
  </si>
  <si>
    <r>
      <t>IMON voltage with R</t>
    </r>
    <r>
      <rPr>
        <vertAlign val="subscript"/>
        <sz val="10"/>
        <color theme="1"/>
        <rFont val="Calibri"/>
        <family val="2"/>
        <scheme val="minor"/>
      </rPr>
      <t>IMON</t>
    </r>
    <r>
      <rPr>
        <sz val="10"/>
        <color theme="1"/>
        <rFont val="Calibri"/>
        <family val="2"/>
        <scheme val="minor"/>
      </rPr>
      <t>, V</t>
    </r>
    <r>
      <rPr>
        <vertAlign val="subscript"/>
        <sz val="10"/>
        <color theme="1"/>
        <rFont val="Calibri"/>
        <family val="2"/>
        <scheme val="minor"/>
      </rPr>
      <t>IMON</t>
    </r>
  </si>
  <si>
    <r>
      <t>Calculated Current Monitoring Resistor, R</t>
    </r>
    <r>
      <rPr>
        <vertAlign val="subscript"/>
        <sz val="10"/>
        <color theme="1"/>
        <rFont val="Calibri"/>
        <family val="2"/>
        <scheme val="minor"/>
      </rPr>
      <t>IMON_CALC</t>
    </r>
  </si>
  <si>
    <t>VIMON, clamped to 3V</t>
  </si>
  <si>
    <t>Vin and Vout</t>
  </si>
  <si>
    <t>Vin_min</t>
  </si>
  <si>
    <t>Vin_max</t>
  </si>
  <si>
    <t>Vout_min</t>
  </si>
  <si>
    <t>Vout_max</t>
  </si>
  <si>
    <r>
      <t>Total Phase, N</t>
    </r>
    <r>
      <rPr>
        <vertAlign val="subscript"/>
        <sz val="10"/>
        <color theme="1"/>
        <rFont val="Calibri"/>
        <family val="2"/>
        <scheme val="minor"/>
      </rPr>
      <t>p</t>
    </r>
  </si>
  <si>
    <t>Set the error amp zero at the load pole.</t>
  </si>
  <si>
    <t>MODE</t>
  </si>
  <si>
    <t xml:space="preserve">crossover </t>
  </si>
  <si>
    <t>gain</t>
  </si>
  <si>
    <t>f</t>
  </si>
  <si>
    <t>p</t>
  </si>
  <si>
    <t>Fc and PM</t>
  </si>
  <si>
    <t>CCM Plant Parameters</t>
  </si>
  <si>
    <t xml:space="preserve"> DCM Plant Parameters</t>
  </si>
  <si>
    <r>
      <t>CTRL+SHIFT+ENTER</t>
    </r>
    <r>
      <rPr>
        <sz val="11"/>
        <color rgb="FFFF0000"/>
        <rFont val="Segoe UI"/>
        <family val="2"/>
      </rPr>
      <t xml:space="preserve"> for B81:C83</t>
    </r>
  </si>
  <si>
    <t>Calcualted Bottom UVLO Resistor</t>
  </si>
  <si>
    <t>RACB</t>
  </si>
  <si>
    <t>CACB</t>
  </si>
  <si>
    <t>ACB (LM5125 only)</t>
  </si>
  <si>
    <r>
      <t>Suggested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CO_calc</t>
    </r>
  </si>
  <si>
    <r>
      <t>Selected Bandwidth @V</t>
    </r>
    <r>
      <rPr>
        <vertAlign val="subscript"/>
        <sz val="10"/>
        <color theme="1"/>
        <rFont val="Calibri"/>
        <family val="2"/>
        <scheme val="minor"/>
      </rPr>
      <t>in(min)</t>
    </r>
    <r>
      <rPr>
        <sz val="10"/>
        <color theme="1"/>
        <rFont val="Calibri"/>
        <family val="2"/>
        <scheme val="minor"/>
      </rPr>
      <t>, V</t>
    </r>
    <r>
      <rPr>
        <vertAlign val="subscript"/>
        <sz val="10"/>
        <color theme="1"/>
        <rFont val="Calibri"/>
        <family val="2"/>
        <scheme val="minor"/>
      </rPr>
      <t>OUT(max)</t>
    </r>
    <r>
      <rPr>
        <sz val="10"/>
        <color theme="1"/>
        <rFont val="Calibri"/>
        <family val="2"/>
        <scheme val="minor"/>
      </rPr>
      <t>,I</t>
    </r>
    <r>
      <rPr>
        <vertAlign val="subscript"/>
        <sz val="10"/>
        <color theme="1"/>
        <rFont val="Calibri"/>
        <family val="2"/>
        <scheme val="minor"/>
      </rPr>
      <t>OUT(max)</t>
    </r>
    <r>
      <rPr>
        <sz val="10"/>
        <color theme="1"/>
        <rFont val="Calibri"/>
        <family val="2"/>
        <scheme val="minor"/>
      </rPr>
      <t>, F</t>
    </r>
    <r>
      <rPr>
        <vertAlign val="subscript"/>
        <sz val="10"/>
        <color theme="1"/>
        <rFont val="Calibri"/>
        <family val="2"/>
        <scheme val="minor"/>
      </rPr>
      <t>CO</t>
    </r>
  </si>
  <si>
    <t>ACB included (LM5125 only)</t>
  </si>
  <si>
    <r>
      <t xml:space="preserve">Fixed </t>
    </r>
    <r>
      <rPr>
        <i/>
        <sz val="10"/>
        <color theme="1"/>
        <rFont val="Arial"/>
        <family val="2"/>
      </rPr>
      <t>t</t>
    </r>
    <r>
      <rPr>
        <i/>
        <vertAlign val="subscript"/>
        <sz val="10"/>
        <color theme="1"/>
        <rFont val="Arial"/>
        <family val="2"/>
      </rPr>
      <t>B</t>
    </r>
    <r>
      <rPr>
        <sz val="10"/>
        <color theme="1"/>
        <rFont val="Arial"/>
        <family val="2"/>
      </rPr>
      <t xml:space="preserve"> calculation; Add ACB influence to the bode plot; Add Crossover Frequency and Phase Margin result to the bode plot; Corrected R</t>
    </r>
    <r>
      <rPr>
        <vertAlign val="subscript"/>
        <sz val="10"/>
        <color theme="1"/>
        <rFont val="Arial"/>
        <family val="2"/>
      </rPr>
      <t>UVB</t>
    </r>
    <r>
      <rPr>
        <sz val="10"/>
        <color theme="1"/>
        <rFont val="Arial"/>
        <family val="2"/>
      </rPr>
      <t xml:space="preserve"> and R</t>
    </r>
    <r>
      <rPr>
        <vertAlign val="subscript"/>
        <sz val="10"/>
        <color theme="1"/>
        <rFont val="Arial"/>
        <family val="2"/>
      </rPr>
      <t>UVT</t>
    </r>
    <r>
      <rPr>
        <sz val="10"/>
        <color theme="1"/>
        <rFont val="Arial"/>
        <family val="2"/>
      </rPr>
      <t xml:space="preserve"> calculation.</t>
    </r>
  </si>
  <si>
    <t>Deadtime: 14ns</t>
  </si>
  <si>
    <t xml:space="preserve">Maximum IC duty cycle. Based on the min off time and frequency. </t>
  </si>
  <si>
    <t>Device</t>
  </si>
  <si>
    <t>LM5125A-Q1</t>
  </si>
  <si>
    <t>LM5125-Q1</t>
  </si>
  <si>
    <t>1:LM5125A; 2:LM5125</t>
  </si>
  <si>
    <r>
      <t>Controller: LM5125</t>
    </r>
    <r>
      <rPr>
        <sz val="10"/>
        <color rgb="FFFF0000"/>
        <rFont val="Calibri"/>
        <family val="2"/>
        <scheme val="minor"/>
      </rPr>
      <t>A</t>
    </r>
    <r>
      <rPr>
        <sz val="10"/>
        <color theme="1"/>
        <rFont val="Calibri"/>
        <family val="2"/>
        <scheme val="minor"/>
      </rPr>
      <t>-Q1 or LM5125-Q1?</t>
    </r>
  </si>
  <si>
    <t>Phases/Primary to use</t>
  </si>
  <si>
    <t>1.single; 2:primary of 3-phase; 2:primary of 4-phase; 4:secondary</t>
  </si>
  <si>
    <t>1:internal clock</t>
  </si>
  <si>
    <t>Force to 1 if secondary</t>
  </si>
  <si>
    <t>t_dead</t>
  </si>
  <si>
    <t>Np limit</t>
  </si>
  <si>
    <t>LM5125 supports 2 phase only. LM5125A supports 4 phase.</t>
  </si>
  <si>
    <t xml:space="preserve">   ?</t>
  </si>
  <si>
    <r>
      <t>Selected external slope compensation (</t>
    </r>
    <r>
      <rPr>
        <b/>
        <sz val="11"/>
        <color theme="1"/>
        <rFont val="Calibri"/>
        <family val="2"/>
        <scheme val="minor"/>
      </rPr>
      <t>No varialbe slope compenstiaon for the LM5125)</t>
    </r>
  </si>
  <si>
    <t>1.2</t>
  </si>
  <si>
    <t>Support LM5125A-Q1 and LM5125-Q1.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</si>
</sst>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E+00"/>
    <numFmt numFmtId="166" formatCode="0.0000"/>
    <numFmt numFmtId="167" formatCode="0.0"/>
    <numFmt numFmtId="168" formatCode="0.0E+00"/>
    <numFmt numFmtId="169" formatCode="0.00000"/>
    <numFmt numFmtId="170" formatCode="0.0%"/>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2"/>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vertAlign val="subscript"/>
      <sz val="10"/>
      <name val="Arial"/>
      <family val="2"/>
    </font>
    <font>
      <vertAlign val="subscript"/>
      <sz val="11"/>
      <name val="Calibri"/>
      <family val="2"/>
      <scheme val="minor"/>
    </font>
    <font>
      <sz val="11"/>
      <color rgb="FF0070C0"/>
      <name val="Calibri"/>
      <family val="2"/>
      <scheme val="minor"/>
    </font>
    <font>
      <b/>
      <u/>
      <sz val="11"/>
      <color theme="1"/>
      <name val="Calibri"/>
      <family val="2"/>
      <scheme val="minor"/>
    </font>
    <font>
      <sz val="18"/>
      <color theme="2" tint="-0.89999084444715716"/>
      <name val="Calibri"/>
      <family val="2"/>
      <scheme val="minor"/>
    </font>
    <font>
      <sz val="11"/>
      <color theme="2" tint="-0.89999084444715716"/>
      <name val="Calibri"/>
      <family val="2"/>
      <scheme val="minor"/>
    </font>
    <font>
      <b/>
      <sz val="11"/>
      <color theme="2" tint="-0.89999084444715716"/>
      <name val="Calibri"/>
      <family val="2"/>
      <scheme val="minor"/>
    </font>
    <font>
      <sz val="10"/>
      <color theme="2" tint="-0.89999084444715716"/>
      <name val="Arial"/>
      <family val="2"/>
    </font>
    <font>
      <vertAlign val="subscript"/>
      <sz val="10"/>
      <color theme="2" tint="-0.89999084444715716"/>
      <name val="Arial"/>
      <family val="2"/>
    </font>
    <font>
      <sz val="11"/>
      <color theme="1" tint="0.14999847407452621"/>
      <name val="Calibri"/>
      <family val="2"/>
      <scheme val="minor"/>
    </font>
    <font>
      <b/>
      <vertAlign val="subscript"/>
      <sz val="11"/>
      <color theme="2" tint="-0.89996032593768116"/>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b/>
      <sz val="10"/>
      <color theme="0"/>
      <name val="Arial"/>
      <family val="2"/>
    </font>
    <font>
      <b/>
      <u/>
      <sz val="11"/>
      <color theme="10"/>
      <name val="Arial"/>
      <family val="2"/>
    </font>
    <font>
      <b/>
      <vertAlign val="subscript"/>
      <sz val="9"/>
      <color indexed="81"/>
      <name val="Tahoma"/>
      <family val="2"/>
    </font>
    <font>
      <sz val="10"/>
      <color theme="1"/>
      <name val="Calibri"/>
      <family val="2"/>
    </font>
    <font>
      <vertAlign val="subscript"/>
      <sz val="10"/>
      <color theme="1"/>
      <name val="Calibri"/>
      <family val="2"/>
    </font>
    <font>
      <vertAlign val="subscript"/>
      <sz val="10"/>
      <name val="Calibri"/>
      <family val="2"/>
      <scheme val="minor"/>
    </font>
    <font>
      <b/>
      <sz val="10"/>
      <color theme="1"/>
      <name val="Calibri"/>
      <family val="2"/>
      <scheme val="minor"/>
    </font>
    <font>
      <sz val="10"/>
      <color theme="2" tint="-0.89999084444715716"/>
      <name val="Calibri"/>
      <family val="2"/>
      <scheme val="minor"/>
    </font>
    <font>
      <vertAlign val="subscript"/>
      <sz val="9"/>
      <color indexed="81"/>
      <name val="Tahoma"/>
      <family val="2"/>
    </font>
    <font>
      <vertAlign val="subscript"/>
      <sz val="10"/>
      <color theme="2" tint="-0.89996032593768116"/>
      <name val="Arial"/>
      <family val="2"/>
    </font>
    <font>
      <sz val="9"/>
      <color indexed="81"/>
      <name val="Tahoma"/>
      <charset val="1"/>
    </font>
    <font>
      <b/>
      <sz val="9"/>
      <color indexed="81"/>
      <name val="Tahoma"/>
      <charset val="1"/>
    </font>
    <font>
      <sz val="11"/>
      <color theme="1"/>
      <name val="Times New Roman"/>
      <family val="1"/>
    </font>
    <font>
      <sz val="9"/>
      <color indexed="10"/>
      <name val="Tahoma"/>
      <family val="2"/>
    </font>
    <font>
      <i/>
      <sz val="10"/>
      <color theme="1"/>
      <name val="Arial"/>
      <family val="2"/>
    </font>
    <font>
      <i/>
      <vertAlign val="subscript"/>
      <sz val="10"/>
      <color theme="1"/>
      <name val="Arial"/>
      <family val="2"/>
    </font>
    <font>
      <b/>
      <sz val="11"/>
      <color rgb="FFFF0000"/>
      <name val="Segoe UI"/>
      <family val="2"/>
    </font>
    <font>
      <sz val="11"/>
      <color rgb="FFFF0000"/>
      <name val="Segoe UI"/>
      <family val="2"/>
    </font>
    <font>
      <vertAlign val="subscript"/>
      <sz val="10"/>
      <color theme="1"/>
      <name val="Arial"/>
      <family val="2"/>
    </font>
    <font>
      <sz val="11"/>
      <color rgb="FFFF0000"/>
      <name val="Calibri"/>
      <family val="2"/>
      <scheme val="minor"/>
    </font>
    <font>
      <sz val="11"/>
      <color rgb="FFFF0000"/>
      <name val="Calibri"/>
      <family val="2"/>
    </font>
    <font>
      <sz val="10"/>
      <color rgb="FFFF0000"/>
      <name val="Calibri"/>
      <family val="2"/>
      <scheme val="minor"/>
    </font>
    <font>
      <b/>
      <sz val="11"/>
      <name val="Calibri"/>
      <family val="2"/>
      <scheme val="minor"/>
    </font>
  </fonts>
  <fills count="21">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rgb="FF00B050"/>
        <bgColor indexed="64"/>
      </patternFill>
    </fill>
    <fill>
      <patternFill patternType="solid">
        <fgColor rgb="FF09BEF7"/>
        <bgColor indexed="64"/>
      </patternFill>
    </fill>
    <fill>
      <patternFill patternType="solid">
        <fgColor rgb="FFDE0000"/>
        <bgColor indexed="64"/>
      </patternFill>
    </fill>
    <fill>
      <patternFill patternType="solid">
        <fgColor theme="1"/>
        <bgColor indexed="64"/>
      </patternFill>
    </fill>
    <fill>
      <patternFill patternType="solid">
        <fgColor theme="9"/>
        <bgColor indexed="64"/>
      </patternFill>
    </fill>
  </fills>
  <borders count="37">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s>
  <cellStyleXfs count="11">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41" fillId="0" borderId="0" applyNumberForma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cellStyleXfs>
  <cellXfs count="398">
    <xf numFmtId="0" fontId="0" fillId="0" borderId="0" xfId="0"/>
    <xf numFmtId="0" fontId="0" fillId="9" borderId="0" xfId="0" applyFill="1"/>
    <xf numFmtId="0" fontId="17" fillId="0" borderId="0" xfId="0" applyFont="1"/>
    <xf numFmtId="0" fontId="0" fillId="10" borderId="0" xfId="0" applyFill="1"/>
    <xf numFmtId="0" fontId="0" fillId="0" borderId="0" xfId="0"/>
    <xf numFmtId="0" fontId="4" fillId="0" borderId="0" xfId="3"/>
    <xf numFmtId="0" fontId="5" fillId="0" borderId="0" xfId="3" applyFont="1" applyFill="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4" fillId="0" borderId="0" xfId="3"/>
    <xf numFmtId="0" fontId="5" fillId="0" borderId="0" xfId="3" applyFont="1"/>
    <xf numFmtId="0" fontId="5" fillId="0" borderId="0" xfId="3" applyFont="1" applyFill="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applyBorder="1"/>
    <xf numFmtId="0" fontId="5" fillId="0" borderId="0" xfId="3" applyFont="1" applyBorder="1" applyAlignment="1">
      <alignment horizontal="center"/>
    </xf>
    <xf numFmtId="0" fontId="4" fillId="0" borderId="0" xfId="3"/>
    <xf numFmtId="0" fontId="9" fillId="0" borderId="0" xfId="3" applyFont="1" applyBorder="1"/>
    <xf numFmtId="0" fontId="5" fillId="0" borderId="0" xfId="3" applyFont="1" applyAlignment="1">
      <alignment horizontal="center"/>
    </xf>
    <xf numFmtId="2" fontId="0" fillId="10" borderId="0" xfId="0" applyNumberFormat="1" applyFill="1"/>
    <xf numFmtId="0" fontId="0" fillId="11" borderId="0" xfId="0" applyFill="1"/>
    <xf numFmtId="165" fontId="0" fillId="9" borderId="0" xfId="0" applyNumberFormat="1" applyFill="1"/>
    <xf numFmtId="0" fontId="5" fillId="0" borderId="0" xfId="3" applyFont="1" applyFill="1" applyAlignment="1">
      <alignment horizontal="right"/>
    </xf>
    <xf numFmtId="0" fontId="4" fillId="0" borderId="0" xfId="3" applyFont="1" applyFill="1" applyAlignment="1">
      <alignment horizontal="center"/>
    </xf>
    <xf numFmtId="0" fontId="5" fillId="0" borderId="0" xfId="3" applyFont="1" applyFill="1"/>
    <xf numFmtId="0" fontId="0" fillId="0" borderId="0" xfId="0" applyFill="1"/>
    <xf numFmtId="164" fontId="0" fillId="9" borderId="0" xfId="0" applyNumberFormat="1" applyFill="1"/>
    <xf numFmtId="2" fontId="0" fillId="9" borderId="0" xfId="0" applyNumberFormat="1" applyFill="1"/>
    <xf numFmtId="1" fontId="0" fillId="9" borderId="0" xfId="0" applyNumberFormat="1" applyFill="1"/>
    <xf numFmtId="0" fontId="16" fillId="0" borderId="0" xfId="0" applyFont="1" applyFill="1" applyBorder="1"/>
    <xf numFmtId="0" fontId="0" fillId="0" borderId="0" xfId="0"/>
    <xf numFmtId="164" fontId="0" fillId="0" borderId="0" xfId="0" applyNumberFormat="1"/>
    <xf numFmtId="11" fontId="15" fillId="10" borderId="0" xfId="0" applyNumberFormat="1" applyFont="1" applyFill="1"/>
    <xf numFmtId="0" fontId="18" fillId="0" borderId="0" xfId="0" applyFont="1"/>
    <xf numFmtId="0" fontId="5" fillId="0" borderId="0" xfId="3" applyFont="1" applyAlignment="1">
      <alignment horizontal="center"/>
    </xf>
    <xf numFmtId="11" fontId="0" fillId="9" borderId="0" xfId="0" applyNumberFormat="1" applyFill="1"/>
    <xf numFmtId="0" fontId="0" fillId="0" borderId="0" xfId="0" applyFont="1"/>
    <xf numFmtId="0" fontId="5" fillId="0" borderId="0" xfId="3" applyFont="1" applyFill="1" applyAlignment="1">
      <alignment horizontal="left"/>
    </xf>
    <xf numFmtId="166" fontId="0" fillId="9" borderId="0" xfId="0" applyNumberFormat="1" applyFill="1"/>
    <xf numFmtId="0" fontId="15" fillId="10" borderId="0" xfId="0" applyFont="1" applyFill="1"/>
    <xf numFmtId="0" fontId="20" fillId="0" borderId="0" xfId="0" applyFont="1"/>
    <xf numFmtId="0" fontId="21" fillId="0" borderId="0" xfId="0" applyFont="1"/>
    <xf numFmtId="0" fontId="0" fillId="12" borderId="0" xfId="0" applyFill="1"/>
    <xf numFmtId="1" fontId="0" fillId="0" borderId="0" xfId="0" applyNumberFormat="1"/>
    <xf numFmtId="0" fontId="5" fillId="0" borderId="0" xfId="3" applyFont="1" applyAlignment="1">
      <alignment horizontal="center"/>
    </xf>
    <xf numFmtId="0" fontId="22" fillId="0" borderId="0" xfId="0" applyFont="1"/>
    <xf numFmtId="0" fontId="23" fillId="0" borderId="0" xfId="0" applyFont="1"/>
    <xf numFmtId="164" fontId="4" fillId="0" borderId="0" xfId="3" applyNumberFormat="1"/>
    <xf numFmtId="0" fontId="0" fillId="0" borderId="0" xfId="0" applyBorder="1"/>
    <xf numFmtId="2" fontId="0" fillId="0" borderId="0" xfId="0" applyNumberFormat="1" applyBorder="1"/>
    <xf numFmtId="0" fontId="24"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8" xfId="3" applyFill="1" applyBorder="1"/>
    <xf numFmtId="0" fontId="4" fillId="0" borderId="9" xfId="3" applyFill="1" applyBorder="1"/>
    <xf numFmtId="0" fontId="0" fillId="0" borderId="5" xfId="0" applyBorder="1"/>
    <xf numFmtId="0" fontId="4" fillId="0" borderId="7" xfId="3" applyFill="1" applyBorder="1"/>
    <xf numFmtId="0" fontId="0" fillId="0" borderId="6" xfId="0" applyBorder="1"/>
    <xf numFmtId="0" fontId="0" fillId="0" borderId="7" xfId="0" applyBorder="1"/>
    <xf numFmtId="0" fontId="0" fillId="0" borderId="9" xfId="0" applyBorder="1"/>
    <xf numFmtId="164" fontId="0" fillId="0" borderId="0" xfId="0" applyNumberFormat="1" applyBorder="1"/>
    <xf numFmtId="164" fontId="0" fillId="0" borderId="8" xfId="0" applyNumberFormat="1" applyBorder="1"/>
    <xf numFmtId="0" fontId="4" fillId="0" borderId="5" xfId="3" applyBorder="1"/>
    <xf numFmtId="2" fontId="0" fillId="0" borderId="10" xfId="0" applyNumberFormat="1" applyBorder="1"/>
    <xf numFmtId="0" fontId="25" fillId="0" borderId="0" xfId="0" applyFont="1"/>
    <xf numFmtId="0" fontId="26" fillId="0" borderId="0" xfId="3" applyFont="1"/>
    <xf numFmtId="167" fontId="0" fillId="0" borderId="0" xfId="0" applyNumberFormat="1"/>
    <xf numFmtId="0" fontId="0" fillId="0" borderId="2" xfId="0" applyBorder="1"/>
    <xf numFmtId="164" fontId="4" fillId="0" borderId="3" xfId="3" applyNumberFormat="1" applyBorder="1"/>
    <xf numFmtId="0" fontId="4" fillId="0" borderId="3" xfId="3" applyBorder="1"/>
    <xf numFmtId="0" fontId="0" fillId="0" borderId="3" xfId="0" applyBorder="1"/>
    <xf numFmtId="164" fontId="0" fillId="0" borderId="3" xfId="0" applyNumberFormat="1" applyBorder="1"/>
    <xf numFmtId="0" fontId="0" fillId="0" borderId="4" xfId="0" applyBorder="1"/>
    <xf numFmtId="164" fontId="4" fillId="0" borderId="0" xfId="3" applyNumberFormat="1" applyBorder="1"/>
    <xf numFmtId="0" fontId="4" fillId="0" borderId="0" xfId="3" applyBorder="1"/>
    <xf numFmtId="164" fontId="4" fillId="0" borderId="8" xfId="3" applyNumberFormat="1" applyBorder="1"/>
    <xf numFmtId="0" fontId="4" fillId="0" borderId="0" xfId="3" applyFill="1" applyBorder="1"/>
    <xf numFmtId="0" fontId="4" fillId="0" borderId="6" xfId="3" applyFill="1" applyBorder="1"/>
    <xf numFmtId="0" fontId="0" fillId="0" borderId="10" xfId="0" applyBorder="1"/>
    <xf numFmtId="0" fontId="0" fillId="0" borderId="11" xfId="0" applyBorder="1"/>
    <xf numFmtId="164" fontId="4" fillId="0" borderId="11" xfId="3" applyNumberFormat="1" applyBorder="1"/>
    <xf numFmtId="0" fontId="4" fillId="0" borderId="11" xfId="3" applyBorder="1"/>
    <xf numFmtId="0" fontId="4" fillId="0" borderId="10" xfId="3" applyBorder="1"/>
    <xf numFmtId="164"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0" borderId="13" xfId="0" applyBorder="1"/>
    <xf numFmtId="0" fontId="0" fillId="13"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Font="1" applyFill="1" applyBorder="1" applyAlignment="1" applyProtection="1">
      <alignment horizontal="left"/>
    </xf>
    <xf numFmtId="0" fontId="4" fillId="0" borderId="8" xfId="3" applyFont="1" applyFill="1" applyBorder="1" applyAlignment="1" applyProtection="1">
      <alignment horizontal="left"/>
    </xf>
    <xf numFmtId="0" fontId="5" fillId="0" borderId="0" xfId="3" applyFont="1" applyAlignment="1">
      <alignment horizontal="center"/>
    </xf>
    <xf numFmtId="0" fontId="0" fillId="0" borderId="13" xfId="0" applyFill="1" applyBorder="1"/>
    <xf numFmtId="0" fontId="0" fillId="13" borderId="13" xfId="0" applyFill="1" applyBorder="1"/>
    <xf numFmtId="0" fontId="0" fillId="0" borderId="19" xfId="0" applyBorder="1"/>
    <xf numFmtId="0" fontId="0" fillId="0" borderId="14" xfId="0" applyFill="1" applyBorder="1"/>
    <xf numFmtId="0" fontId="0" fillId="13" borderId="15" xfId="0" applyFill="1" applyBorder="1"/>
    <xf numFmtId="0" fontId="0" fillId="0"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5"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Border="1" applyProtection="1">
      <protection hidden="1"/>
    </xf>
    <xf numFmtId="0" fontId="15" fillId="8" borderId="0" xfId="0" applyFont="1" applyFill="1" applyProtection="1">
      <protection hidden="1"/>
    </xf>
    <xf numFmtId="0" fontId="0" fillId="14" borderId="0" xfId="0" applyFill="1" applyProtection="1">
      <protection hidden="1"/>
    </xf>
    <xf numFmtId="0" fontId="0" fillId="8" borderId="0" xfId="0" applyFill="1" applyBorder="1" applyProtection="1">
      <protection hidden="1"/>
    </xf>
    <xf numFmtId="0" fontId="15" fillId="8" borderId="0" xfId="0" applyFont="1" applyFill="1" applyBorder="1" applyProtection="1">
      <protection hidden="1"/>
    </xf>
    <xf numFmtId="0" fontId="0" fillId="14" borderId="0" xfId="0" applyFill="1" applyBorder="1" applyProtection="1">
      <protection hidden="1"/>
    </xf>
    <xf numFmtId="0" fontId="2" fillId="8" borderId="0" xfId="0" applyFont="1" applyFill="1" applyBorder="1" applyProtection="1">
      <protection hidden="1"/>
    </xf>
    <xf numFmtId="0" fontId="0" fillId="7" borderId="0" xfId="0" applyFill="1" applyBorder="1" applyProtection="1">
      <protection hidden="1"/>
    </xf>
    <xf numFmtId="0" fontId="2" fillId="8" borderId="0" xfId="0" quotePrefix="1" applyFont="1" applyFill="1" applyBorder="1" applyProtection="1">
      <protection hidden="1"/>
    </xf>
    <xf numFmtId="0" fontId="0" fillId="8" borderId="1" xfId="0" applyFill="1" applyBorder="1" applyProtection="1">
      <protection hidden="1"/>
    </xf>
    <xf numFmtId="0" fontId="15" fillId="8" borderId="1" xfId="0" applyFont="1" applyFill="1" applyBorder="1" applyProtection="1">
      <protection hidden="1"/>
    </xf>
    <xf numFmtId="0" fontId="0" fillId="14" borderId="1" xfId="0" applyFill="1" applyBorder="1" applyProtection="1">
      <protection hidden="1"/>
    </xf>
    <xf numFmtId="0" fontId="0" fillId="15" borderId="0" xfId="0" applyFill="1" applyProtection="1">
      <protection hidden="1"/>
    </xf>
    <xf numFmtId="0" fontId="0" fillId="15" borderId="0" xfId="0" applyFill="1" applyBorder="1" applyProtection="1">
      <protection hidden="1"/>
    </xf>
    <xf numFmtId="0" fontId="0" fillId="15" borderId="2" xfId="0" applyFill="1" applyBorder="1" applyProtection="1">
      <protection hidden="1"/>
    </xf>
    <xf numFmtId="0" fontId="0" fillId="15" borderId="3" xfId="0" applyFill="1" applyBorder="1" applyProtection="1">
      <protection hidden="1"/>
    </xf>
    <xf numFmtId="0" fontId="13" fillId="15" borderId="3" xfId="3" applyFont="1" applyFill="1" applyBorder="1" applyAlignment="1" applyProtection="1">
      <alignment horizontal="right"/>
      <protection hidden="1"/>
    </xf>
    <xf numFmtId="0" fontId="0" fillId="15" borderId="4" xfId="0" applyFill="1" applyBorder="1" applyProtection="1">
      <protection hidden="1"/>
    </xf>
    <xf numFmtId="0" fontId="0" fillId="15" borderId="5" xfId="0" applyFill="1" applyBorder="1" applyProtection="1">
      <protection hidden="1"/>
    </xf>
    <xf numFmtId="0" fontId="13" fillId="15" borderId="0" xfId="3" applyFont="1" applyFill="1" applyBorder="1" applyAlignment="1" applyProtection="1">
      <alignment horizontal="right"/>
      <protection hidden="1"/>
    </xf>
    <xf numFmtId="0" fontId="0" fillId="15" borderId="6" xfId="0" applyFill="1" applyBorder="1" applyProtection="1">
      <protection hidden="1"/>
    </xf>
    <xf numFmtId="0" fontId="13" fillId="15" borderId="5" xfId="0" applyFont="1" applyFill="1" applyBorder="1" applyProtection="1">
      <protection hidden="1"/>
    </xf>
    <xf numFmtId="0" fontId="13" fillId="15" borderId="0" xfId="0" applyFont="1" applyFill="1" applyBorder="1" applyProtection="1">
      <protection hidden="1"/>
    </xf>
    <xf numFmtId="0" fontId="13" fillId="15" borderId="0" xfId="0" applyFont="1" applyFill="1" applyBorder="1" applyAlignment="1" applyProtection="1">
      <alignment horizontal="right"/>
      <protection hidden="1"/>
    </xf>
    <xf numFmtId="0" fontId="0" fillId="15" borderId="8" xfId="0" applyFill="1" applyBorder="1" applyProtection="1">
      <protection hidden="1"/>
    </xf>
    <xf numFmtId="0" fontId="0" fillId="15" borderId="9" xfId="0" applyFill="1" applyBorder="1" applyProtection="1">
      <protection hidden="1"/>
    </xf>
    <xf numFmtId="0" fontId="13" fillId="15" borderId="0" xfId="0" applyFont="1" applyFill="1" applyProtection="1">
      <protection hidden="1"/>
    </xf>
    <xf numFmtId="0" fontId="16" fillId="15" borderId="0" xfId="0" applyFont="1" applyFill="1" applyBorder="1" applyProtection="1">
      <protection hidden="1"/>
    </xf>
    <xf numFmtId="0" fontId="13" fillId="15" borderId="3" xfId="0" applyFont="1" applyFill="1" applyBorder="1" applyProtection="1">
      <protection hidden="1"/>
    </xf>
    <xf numFmtId="0" fontId="0" fillId="15" borderId="7" xfId="0" applyFill="1" applyBorder="1" applyProtection="1">
      <protection hidden="1"/>
    </xf>
    <xf numFmtId="0" fontId="13" fillId="15" borderId="8" xfId="3" applyFont="1" applyFill="1" applyBorder="1" applyAlignment="1" applyProtection="1">
      <alignment horizontal="right"/>
      <protection hidden="1"/>
    </xf>
    <xf numFmtId="0" fontId="0" fillId="15" borderId="0" xfId="0" applyFill="1" applyBorder="1" applyAlignment="1" applyProtection="1">
      <alignment horizontal="right"/>
      <protection hidden="1"/>
    </xf>
    <xf numFmtId="0" fontId="17" fillId="15" borderId="6" xfId="0" applyFont="1" applyFill="1" applyBorder="1" applyProtection="1">
      <protection hidden="1"/>
    </xf>
    <xf numFmtId="0" fontId="0" fillId="15" borderId="8" xfId="0" applyFill="1" applyBorder="1" applyAlignment="1" applyProtection="1">
      <alignment horizontal="right"/>
      <protection hidden="1"/>
    </xf>
    <xf numFmtId="0" fontId="16" fillId="15" borderId="2" xfId="0" applyFont="1" applyFill="1" applyBorder="1" applyProtection="1">
      <protection hidden="1"/>
    </xf>
    <xf numFmtId="0" fontId="0" fillId="15" borderId="0" xfId="0" applyFill="1" applyBorder="1" applyAlignment="1" applyProtection="1">
      <alignment horizontal="center"/>
      <protection hidden="1"/>
    </xf>
    <xf numFmtId="0" fontId="0" fillId="15" borderId="6" xfId="0" applyFill="1" applyBorder="1" applyAlignment="1" applyProtection="1">
      <alignment horizontal="center"/>
      <protection hidden="1"/>
    </xf>
    <xf numFmtId="0" fontId="15" fillId="14"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5" borderId="25" xfId="0" applyNumberFormat="1" applyFill="1" applyBorder="1" applyProtection="1">
      <protection hidden="1"/>
    </xf>
    <xf numFmtId="0" fontId="0" fillId="15" borderId="25" xfId="0" applyFill="1" applyBorder="1" applyProtection="1">
      <protection hidden="1"/>
    </xf>
    <xf numFmtId="164" fontId="0" fillId="0" borderId="25" xfId="0" applyNumberFormat="1" applyBorder="1" applyProtection="1">
      <protection hidden="1"/>
    </xf>
    <xf numFmtId="2" fontId="0" fillId="0" borderId="26" xfId="0" applyNumberFormat="1" applyBorder="1" applyProtection="1">
      <protection hidden="1"/>
    </xf>
    <xf numFmtId="2" fontId="0" fillId="15" borderId="26" xfId="0" applyNumberFormat="1" applyFill="1" applyBorder="1" applyProtection="1">
      <protection hidden="1"/>
    </xf>
    <xf numFmtId="0" fontId="0" fillId="7" borderId="26" xfId="0" applyFill="1" applyBorder="1" applyProtection="1">
      <protection locked="0" hidden="1"/>
    </xf>
    <xf numFmtId="2" fontId="0" fillId="0" borderId="24" xfId="0" applyNumberFormat="1" applyBorder="1" applyProtection="1">
      <protection hidden="1"/>
    </xf>
    <xf numFmtId="1" fontId="0" fillId="0" borderId="26" xfId="0" applyNumberFormat="1" applyBorder="1" applyProtection="1">
      <protection hidden="1"/>
    </xf>
    <xf numFmtId="0" fontId="0" fillId="0" borderId="25" xfId="0" applyFont="1" applyFill="1" applyBorder="1" applyAlignment="1" applyProtection="1">
      <alignment vertical="top"/>
      <protection hidden="1"/>
    </xf>
    <xf numFmtId="0" fontId="0" fillId="15" borderId="25" xfId="0" applyFill="1" applyBorder="1" applyAlignment="1" applyProtection="1">
      <alignment horizontal="center"/>
      <protection hidden="1"/>
    </xf>
    <xf numFmtId="1" fontId="0" fillId="15" borderId="7" xfId="0" applyNumberFormat="1" applyFill="1" applyBorder="1" applyProtection="1">
      <protection hidden="1"/>
    </xf>
    <xf numFmtId="0" fontId="0" fillId="7" borderId="23" xfId="0" applyFill="1" applyBorder="1" applyProtection="1">
      <protection locked="0" hidden="1"/>
    </xf>
    <xf numFmtId="0" fontId="0" fillId="7" borderId="0" xfId="0" applyFill="1"/>
    <xf numFmtId="0" fontId="29" fillId="0" borderId="0" xfId="0" applyFont="1" applyFill="1" applyBorder="1"/>
    <xf numFmtId="0" fontId="30" fillId="0" borderId="0" xfId="0" applyFont="1"/>
    <xf numFmtId="0" fontId="0" fillId="0" borderId="0" xfId="0" applyBorder="1" applyAlignment="1">
      <alignment horizontal="center"/>
    </xf>
    <xf numFmtId="11" fontId="0" fillId="0" borderId="0" xfId="0" applyNumberFormat="1" applyFill="1"/>
    <xf numFmtId="168" fontId="0" fillId="9" borderId="0" xfId="0" applyNumberFormat="1" applyFill="1"/>
    <xf numFmtId="0" fontId="3" fillId="0" borderId="8" xfId="3" applyFont="1" applyFill="1" applyBorder="1"/>
    <xf numFmtId="0" fontId="3" fillId="0" borderId="8" xfId="3" applyFont="1" applyBorder="1"/>
    <xf numFmtId="0" fontId="22" fillId="15" borderId="24" xfId="0" applyFont="1" applyFill="1" applyBorder="1" applyAlignment="1" applyProtection="1">
      <alignment horizontal="center"/>
      <protection hidden="1"/>
    </xf>
    <xf numFmtId="2" fontId="0" fillId="0" borderId="0" xfId="0" applyNumberFormat="1" applyFill="1"/>
    <xf numFmtId="0" fontId="0" fillId="14" borderId="0" xfId="0" applyFont="1" applyFill="1" applyProtection="1">
      <protection hidden="1"/>
    </xf>
    <xf numFmtId="0" fontId="36" fillId="14" borderId="0" xfId="0" applyFont="1" applyFill="1" applyBorder="1" applyProtection="1">
      <protection hidden="1"/>
    </xf>
    <xf numFmtId="0" fontId="0" fillId="0" borderId="0" xfId="0" applyAlignment="1"/>
    <xf numFmtId="0" fontId="0" fillId="15" borderId="0" xfId="0" applyFill="1"/>
    <xf numFmtId="0" fontId="0" fillId="10" borderId="0" xfId="0" applyFont="1" applyFill="1"/>
    <xf numFmtId="0" fontId="13" fillId="15" borderId="7" xfId="0" applyFont="1" applyFill="1" applyBorder="1" applyProtection="1">
      <protection hidden="1"/>
    </xf>
    <xf numFmtId="0" fontId="13" fillId="15" borderId="8" xfId="0" applyFont="1" applyFill="1" applyBorder="1" applyProtection="1">
      <protection hidden="1"/>
    </xf>
    <xf numFmtId="167" fontId="0" fillId="15" borderId="25" xfId="0" applyNumberFormat="1" applyFill="1" applyBorder="1" applyProtection="1">
      <protection hidden="1"/>
    </xf>
    <xf numFmtId="164" fontId="0" fillId="0" borderId="0" xfId="0" applyNumberFormat="1" applyFill="1"/>
    <xf numFmtId="0" fontId="22" fillId="13" borderId="0" xfId="0" applyFont="1" applyFill="1"/>
    <xf numFmtId="164" fontId="0" fillId="6" borderId="0" xfId="0" applyNumberFormat="1" applyFill="1"/>
    <xf numFmtId="0" fontId="0" fillId="6" borderId="0" xfId="0" applyFill="1"/>
    <xf numFmtId="0" fontId="31" fillId="15" borderId="0" xfId="0" applyFont="1" applyFill="1" applyBorder="1" applyProtection="1">
      <protection hidden="1"/>
    </xf>
    <xf numFmtId="0" fontId="32" fillId="15" borderId="0" xfId="0" applyFont="1" applyFill="1" applyBorder="1" applyProtection="1">
      <protection hidden="1"/>
    </xf>
    <xf numFmtId="0" fontId="36" fillId="15" borderId="0" xfId="0" applyFont="1" applyFill="1" applyBorder="1" applyProtection="1">
      <protection hidden="1"/>
    </xf>
    <xf numFmtId="0" fontId="33" fillId="15" borderId="0" xfId="0" applyFont="1" applyFill="1" applyBorder="1" applyAlignment="1" applyProtection="1">
      <alignment horizontal="left"/>
      <protection hidden="1"/>
    </xf>
    <xf numFmtId="0" fontId="34" fillId="15" borderId="0" xfId="3" applyFont="1" applyFill="1" applyBorder="1" applyAlignment="1" applyProtection="1">
      <alignment horizontal="right"/>
      <protection hidden="1"/>
    </xf>
    <xf numFmtId="0" fontId="32" fillId="15" borderId="0" xfId="0" applyFont="1" applyFill="1" applyProtection="1">
      <protection hidden="1"/>
    </xf>
    <xf numFmtId="0" fontId="0" fillId="15" borderId="0" xfId="0" applyFont="1" applyFill="1" applyProtection="1">
      <protection hidden="1"/>
    </xf>
    <xf numFmtId="0" fontId="0" fillId="15" borderId="0" xfId="0" applyFont="1" applyFill="1" applyBorder="1" applyProtection="1">
      <protection hidden="1"/>
    </xf>
    <xf numFmtId="0" fontId="0" fillId="0" borderId="23" xfId="0" applyBorder="1"/>
    <xf numFmtId="0" fontId="0" fillId="0" borderId="25" xfId="0" applyBorder="1"/>
    <xf numFmtId="0" fontId="0" fillId="0" borderId="24" xfId="0" applyBorder="1"/>
    <xf numFmtId="0" fontId="0" fillId="0" borderId="26" xfId="0" applyBorder="1"/>
    <xf numFmtId="0" fontId="4" fillId="0" borderId="11" xfId="3" applyFill="1" applyBorder="1"/>
    <xf numFmtId="0" fontId="4" fillId="0" borderId="10" xfId="3" applyFill="1" applyBorder="1"/>
    <xf numFmtId="0" fontId="4" fillId="0" borderId="12" xfId="3" applyFill="1" applyBorder="1"/>
    <xf numFmtId="0" fontId="3" fillId="0" borderId="10" xfId="3" applyFont="1" applyFill="1" applyBorder="1"/>
    <xf numFmtId="0" fontId="3" fillId="0" borderId="11" xfId="3" applyFont="1" applyBorder="1"/>
    <xf numFmtId="0" fontId="0" fillId="8" borderId="0" xfId="0" applyFill="1" applyProtection="1">
      <protection hidden="1"/>
    </xf>
    <xf numFmtId="0" fontId="0" fillId="8" borderId="0" xfId="0" applyFill="1" applyAlignment="1" applyProtection="1">
      <alignment horizontal="right"/>
      <protection hidden="1"/>
    </xf>
    <xf numFmtId="1" fontId="0" fillId="8" borderId="0" xfId="0" applyNumberFormat="1" applyFill="1" applyProtection="1">
      <protection hidden="1"/>
    </xf>
    <xf numFmtId="167" fontId="0" fillId="15" borderId="10" xfId="0" applyNumberFormat="1" applyFill="1" applyBorder="1" applyProtection="1">
      <protection hidden="1"/>
    </xf>
    <xf numFmtId="0" fontId="0" fillId="16" borderId="0" xfId="0" applyFill="1"/>
    <xf numFmtId="0" fontId="0" fillId="0" borderId="28" xfId="0" applyFill="1" applyBorder="1"/>
    <xf numFmtId="0" fontId="0" fillId="0" borderId="28" xfId="0" applyBorder="1"/>
    <xf numFmtId="0" fontId="36" fillId="8" borderId="0" xfId="0" applyFont="1" applyFill="1" applyBorder="1" applyProtection="1">
      <protection hidden="1"/>
    </xf>
    <xf numFmtId="0" fontId="0" fillId="8" borderId="0" xfId="0" applyFont="1" applyFill="1" applyProtection="1">
      <protection hidden="1"/>
    </xf>
    <xf numFmtId="0" fontId="32" fillId="15" borderId="2" xfId="0" applyFont="1" applyFill="1" applyBorder="1" applyProtection="1">
      <protection hidden="1"/>
    </xf>
    <xf numFmtId="0" fontId="32" fillId="15" borderId="3" xfId="0" applyFont="1" applyFill="1" applyBorder="1" applyProtection="1">
      <protection hidden="1"/>
    </xf>
    <xf numFmtId="0" fontId="34" fillId="15" borderId="3" xfId="3" applyFont="1" applyFill="1" applyBorder="1" applyAlignment="1" applyProtection="1">
      <alignment horizontal="right"/>
      <protection hidden="1"/>
    </xf>
    <xf numFmtId="0" fontId="34" fillId="15" borderId="4" xfId="3" applyFont="1" applyFill="1" applyBorder="1" applyProtection="1">
      <protection hidden="1"/>
    </xf>
    <xf numFmtId="0" fontId="33" fillId="15" borderId="5" xfId="0" applyFont="1" applyFill="1" applyBorder="1" applyProtection="1">
      <protection hidden="1"/>
    </xf>
    <xf numFmtId="0" fontId="34" fillId="15" borderId="6" xfId="3" applyFont="1" applyFill="1" applyBorder="1" applyProtection="1">
      <protection hidden="1"/>
    </xf>
    <xf numFmtId="0" fontId="32" fillId="15" borderId="5" xfId="0" applyFont="1" applyFill="1" applyBorder="1" applyProtection="1">
      <protection hidden="1"/>
    </xf>
    <xf numFmtId="0" fontId="32" fillId="15" borderId="7" xfId="0" applyFont="1" applyFill="1" applyBorder="1" applyProtection="1">
      <protection hidden="1"/>
    </xf>
    <xf numFmtId="0" fontId="32" fillId="15" borderId="8" xfId="0" applyFont="1" applyFill="1" applyBorder="1" applyProtection="1">
      <protection hidden="1"/>
    </xf>
    <xf numFmtId="0" fontId="34" fillId="15" borderId="8" xfId="3" applyFont="1" applyFill="1" applyBorder="1" applyAlignment="1" applyProtection="1">
      <alignment horizontal="right"/>
      <protection hidden="1"/>
    </xf>
    <xf numFmtId="0" fontId="34" fillId="15" borderId="9" xfId="3" applyFont="1" applyFill="1" applyBorder="1" applyProtection="1">
      <protection hidden="1"/>
    </xf>
    <xf numFmtId="0" fontId="32" fillId="15" borderId="6" xfId="0" applyFont="1" applyFill="1" applyBorder="1" applyProtection="1">
      <protection hidden="1"/>
    </xf>
    <xf numFmtId="0" fontId="32" fillId="15" borderId="9" xfId="0" applyFont="1" applyFill="1" applyBorder="1" applyProtection="1">
      <protection hidden="1"/>
    </xf>
    <xf numFmtId="0" fontId="13" fillId="15" borderId="8" xfId="0" applyFont="1" applyFill="1" applyBorder="1" applyAlignment="1" applyProtection="1">
      <alignment horizontal="right"/>
      <protection hidden="1"/>
    </xf>
    <xf numFmtId="167" fontId="0" fillId="15" borderId="26" xfId="0" applyNumberFormat="1" applyFill="1" applyBorder="1" applyProtection="1">
      <protection hidden="1"/>
    </xf>
    <xf numFmtId="0" fontId="0" fillId="0" borderId="30" xfId="0" applyFill="1" applyBorder="1"/>
    <xf numFmtId="0" fontId="0" fillId="0" borderId="30" xfId="0" applyBorder="1"/>
    <xf numFmtId="0" fontId="32" fillId="7" borderId="24" xfId="0" applyFont="1" applyFill="1" applyBorder="1" applyProtection="1">
      <protection locked="0" hidden="1"/>
    </xf>
    <xf numFmtId="0" fontId="32" fillId="7" borderId="25" xfId="0" applyFont="1" applyFill="1" applyBorder="1" applyProtection="1">
      <protection locked="0" hidden="1"/>
    </xf>
    <xf numFmtId="0" fontId="32" fillId="7" borderId="26" xfId="0" applyFont="1" applyFill="1" applyBorder="1" applyProtection="1">
      <protection locked="0" hidden="1"/>
    </xf>
    <xf numFmtId="2" fontId="0" fillId="7" borderId="25" xfId="0" applyNumberFormat="1" applyFill="1" applyBorder="1" applyProtection="1">
      <protection locked="0" hidden="1"/>
    </xf>
    <xf numFmtId="0" fontId="0" fillId="7" borderId="25" xfId="0" applyFill="1" applyBorder="1" applyAlignment="1" applyProtection="1">
      <alignment horizontal="right"/>
      <protection locked="0" hidden="1"/>
    </xf>
    <xf numFmtId="0" fontId="3" fillId="5" borderId="0" xfId="3" applyFont="1" applyFill="1" applyAlignment="1">
      <alignment horizontal="right" vertical="center"/>
    </xf>
    <xf numFmtId="48" fontId="0" fillId="0" borderId="0" xfId="0" applyNumberFormat="1" applyFill="1"/>
    <xf numFmtId="0" fontId="0" fillId="15" borderId="24" xfId="0" applyFill="1" applyBorder="1" applyProtection="1">
      <protection hidden="1"/>
    </xf>
    <xf numFmtId="169" fontId="0" fillId="0" borderId="0" xfId="0" applyNumberFormat="1"/>
    <xf numFmtId="0" fontId="16" fillId="0" borderId="0" xfId="0" applyFont="1" applyFill="1" applyBorder="1" applyProtection="1">
      <protection hidden="1"/>
    </xf>
    <xf numFmtId="0" fontId="38" fillId="0" borderId="0" xfId="1" applyFont="1"/>
    <xf numFmtId="0" fontId="43" fillId="19" borderId="0" xfId="1" applyFont="1" applyFill="1" applyAlignment="1">
      <alignment horizontal="center"/>
    </xf>
    <xf numFmtId="0" fontId="38" fillId="15" borderId="0" xfId="1" applyFont="1" applyFill="1"/>
    <xf numFmtId="0" fontId="39" fillId="15" borderId="0" xfId="1" applyFont="1" applyFill="1" applyAlignment="1">
      <alignment horizontal="center"/>
    </xf>
    <xf numFmtId="0" fontId="40" fillId="15" borderId="0" xfId="1" applyFont="1" applyFill="1"/>
    <xf numFmtId="0" fontId="42" fillId="15" borderId="0" xfId="8" applyFont="1" applyFill="1" applyBorder="1" applyAlignment="1">
      <alignment vertical="center"/>
    </xf>
    <xf numFmtId="0" fontId="42" fillId="15" borderId="0" xfId="8" applyFont="1" applyFill="1" applyBorder="1" applyAlignment="1">
      <alignment horizontal="right" vertical="center"/>
    </xf>
    <xf numFmtId="0" fontId="39" fillId="15" borderId="0" xfId="1" applyFont="1" applyFill="1" applyAlignment="1">
      <alignment horizontal="left"/>
    </xf>
    <xf numFmtId="0" fontId="38" fillId="15" borderId="0" xfId="1" applyFont="1" applyFill="1" applyAlignment="1">
      <alignment horizontal="center"/>
    </xf>
    <xf numFmtId="0" fontId="38" fillId="15" borderId="0" xfId="1" applyFont="1" applyFill="1" applyAlignment="1">
      <alignment horizontal="left"/>
    </xf>
    <xf numFmtId="0" fontId="40" fillId="15" borderId="0" xfId="1" applyFont="1" applyFill="1" applyAlignment="1">
      <alignment horizontal="center"/>
    </xf>
    <xf numFmtId="0" fontId="3" fillId="15" borderId="0" xfId="1" applyFont="1" applyFill="1" applyAlignment="1"/>
    <xf numFmtId="49" fontId="40" fillId="15" borderId="0" xfId="1" applyNumberFormat="1" applyFont="1" applyFill="1" applyAlignment="1">
      <alignment horizontal="center"/>
    </xf>
    <xf numFmtId="0" fontId="44" fillId="15" borderId="0" xfId="8" applyFont="1" applyFill="1" applyBorder="1" applyAlignment="1">
      <alignment vertical="center"/>
    </xf>
    <xf numFmtId="0" fontId="41" fillId="8" borderId="0" xfId="9" applyFill="1" applyBorder="1" applyAlignment="1" applyProtection="1">
      <alignment horizontal="center"/>
      <protection hidden="1"/>
    </xf>
    <xf numFmtId="2" fontId="0" fillId="15" borderId="0" xfId="0" applyNumberFormat="1" applyFill="1" applyBorder="1" applyProtection="1">
      <protection hidden="1"/>
    </xf>
    <xf numFmtId="0" fontId="17" fillId="15" borderId="26" xfId="0" applyFont="1" applyFill="1" applyBorder="1" applyProtection="1">
      <protection hidden="1"/>
    </xf>
    <xf numFmtId="0" fontId="17" fillId="15" borderId="0" xfId="0" applyFont="1" applyFill="1" applyBorder="1" applyProtection="1">
      <protection hidden="1"/>
    </xf>
    <xf numFmtId="0" fontId="17" fillId="15" borderId="4" xfId="0" applyFont="1" applyFill="1" applyBorder="1" applyProtection="1">
      <protection hidden="1"/>
    </xf>
    <xf numFmtId="0" fontId="0" fillId="15" borderId="26" xfId="0" applyFill="1" applyBorder="1" applyProtection="1">
      <protection hidden="1"/>
    </xf>
    <xf numFmtId="0" fontId="17" fillId="0" borderId="6" xfId="0" applyFont="1" applyBorder="1"/>
    <xf numFmtId="11" fontId="0" fillId="11" borderId="0" xfId="0" applyNumberFormat="1" applyFill="1"/>
    <xf numFmtId="11" fontId="0" fillId="17" borderId="0" xfId="0" applyNumberFormat="1" applyFill="1"/>
    <xf numFmtId="0" fontId="0" fillId="11" borderId="0" xfId="0" applyNumberFormat="1" applyFill="1"/>
    <xf numFmtId="167" fontId="0" fillId="7" borderId="24" xfId="0" applyNumberFormat="1" applyFill="1" applyBorder="1" applyProtection="1">
      <protection locked="0" hidden="1"/>
    </xf>
    <xf numFmtId="0" fontId="0" fillId="0" borderId="0" xfId="0" applyFill="1" applyBorder="1"/>
    <xf numFmtId="164" fontId="3" fillId="4" borderId="0" xfId="3" applyNumberFormat="1" applyFont="1" applyFill="1" applyAlignment="1">
      <alignment horizontal="right"/>
    </xf>
    <xf numFmtId="164" fontId="15" fillId="10" borderId="0" xfId="0" applyNumberFormat="1" applyFont="1" applyFill="1"/>
    <xf numFmtId="164" fontId="0" fillId="0" borderId="0" xfId="0" applyNumberFormat="1" applyBorder="1" applyProtection="1">
      <protection hidden="1"/>
    </xf>
    <xf numFmtId="0" fontId="17" fillId="15" borderId="25" xfId="0" applyFont="1" applyFill="1" applyBorder="1" applyProtection="1">
      <protection hidden="1"/>
    </xf>
    <xf numFmtId="0" fontId="0" fillId="7" borderId="5" xfId="0" applyFill="1" applyBorder="1" applyProtection="1">
      <protection locked="0" hidden="1"/>
    </xf>
    <xf numFmtId="0" fontId="0" fillId="7" borderId="2" xfId="0" applyFill="1" applyBorder="1" applyProtection="1">
      <protection locked="0" hidden="1"/>
    </xf>
    <xf numFmtId="2" fontId="0" fillId="0" borderId="5" xfId="0" applyNumberFormat="1" applyBorder="1" applyProtection="1">
      <protection hidden="1"/>
    </xf>
    <xf numFmtId="167" fontId="0" fillId="0" borderId="5" xfId="0" applyNumberFormat="1" applyBorder="1" applyProtection="1">
      <protection hidden="1"/>
    </xf>
    <xf numFmtId="0" fontId="15" fillId="0" borderId="0" xfId="0" applyFont="1" applyFill="1" applyBorder="1"/>
    <xf numFmtId="0" fontId="13" fillId="15" borderId="3" xfId="0" applyFont="1" applyFill="1" applyBorder="1" applyAlignment="1" applyProtection="1">
      <alignment horizontal="right"/>
      <protection hidden="1"/>
    </xf>
    <xf numFmtId="0" fontId="13" fillId="6" borderId="0" xfId="0" applyFont="1" applyFill="1" applyAlignment="1" applyProtection="1">
      <alignment horizontal="right"/>
      <protection hidden="1"/>
    </xf>
    <xf numFmtId="0" fontId="13" fillId="8" borderId="0" xfId="0" applyFont="1" applyFill="1" applyBorder="1" applyAlignment="1" applyProtection="1">
      <alignment horizontal="right"/>
      <protection hidden="1"/>
    </xf>
    <xf numFmtId="0" fontId="13" fillId="8" borderId="1" xfId="0" applyFont="1" applyFill="1" applyBorder="1" applyAlignment="1" applyProtection="1">
      <alignment horizontal="right"/>
      <protection hidden="1"/>
    </xf>
    <xf numFmtId="0" fontId="13" fillId="15" borderId="0" xfId="0" applyFont="1" applyFill="1" applyAlignment="1" applyProtection="1">
      <alignment horizontal="right"/>
      <protection hidden="1"/>
    </xf>
    <xf numFmtId="0" fontId="23" fillId="15" borderId="3" xfId="0" applyFont="1" applyFill="1" applyBorder="1" applyAlignment="1" applyProtection="1">
      <alignment horizontal="right"/>
      <protection hidden="1"/>
    </xf>
    <xf numFmtId="0" fontId="49" fillId="15" borderId="0" xfId="0" applyFont="1" applyFill="1" applyBorder="1" applyAlignment="1" applyProtection="1">
      <alignment horizontal="right"/>
      <protection hidden="1"/>
    </xf>
    <xf numFmtId="0" fontId="23" fillId="15" borderId="0" xfId="0" applyFont="1" applyFill="1" applyBorder="1" applyAlignment="1" applyProtection="1">
      <alignment horizontal="right"/>
      <protection hidden="1"/>
    </xf>
    <xf numFmtId="0" fontId="13" fillId="15" borderId="0" xfId="0" applyFont="1" applyFill="1" applyBorder="1" applyAlignment="1" applyProtection="1">
      <alignment horizontal="center"/>
      <protection hidden="1"/>
    </xf>
    <xf numFmtId="0" fontId="46" fillId="15" borderId="10" xfId="0" applyFont="1" applyFill="1" applyBorder="1" applyAlignment="1" applyProtection="1">
      <alignment horizontal="left"/>
      <protection hidden="1"/>
    </xf>
    <xf numFmtId="0" fontId="13" fillId="15" borderId="7" xfId="0" applyFont="1" applyFill="1" applyBorder="1" applyAlignment="1" applyProtection="1">
      <alignment horizontal="left"/>
      <protection hidden="1"/>
    </xf>
    <xf numFmtId="0" fontId="13" fillId="8" borderId="0" xfId="0" applyFont="1" applyFill="1" applyAlignment="1" applyProtection="1">
      <alignment horizontal="right"/>
      <protection hidden="1"/>
    </xf>
    <xf numFmtId="0" fontId="50" fillId="15" borderId="0" xfId="0" applyFont="1" applyFill="1" applyBorder="1" applyAlignment="1" applyProtection="1">
      <alignment horizontal="right"/>
      <protection hidden="1"/>
    </xf>
    <xf numFmtId="0" fontId="50" fillId="15" borderId="0" xfId="0" applyFont="1" applyFill="1" applyBorder="1" applyProtection="1">
      <protection hidden="1"/>
    </xf>
    <xf numFmtId="0" fontId="50" fillId="15" borderId="0" xfId="0" applyFont="1" applyFill="1" applyAlignment="1" applyProtection="1">
      <alignment horizontal="right"/>
      <protection hidden="1"/>
    </xf>
    <xf numFmtId="0" fontId="13" fillId="14" borderId="0" xfId="0" applyFont="1" applyFill="1" applyAlignment="1" applyProtection="1">
      <alignment horizontal="right"/>
      <protection hidden="1"/>
    </xf>
    <xf numFmtId="0" fontId="0" fillId="0" borderId="0" xfId="0" applyAlignment="1">
      <alignment horizontal="right"/>
    </xf>
    <xf numFmtId="0" fontId="0" fillId="0" borderId="0" xfId="0" applyAlignment="1">
      <alignment horizontal="center"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right"/>
    </xf>
    <xf numFmtId="0" fontId="13" fillId="15" borderId="6" xfId="0" applyFont="1" applyFill="1" applyBorder="1" applyAlignment="1" applyProtection="1">
      <alignment horizontal="right"/>
      <protection hidden="1"/>
    </xf>
    <xf numFmtId="0" fontId="0" fillId="0" borderId="0" xfId="0" applyAlignment="1">
      <alignment horizontal="left"/>
    </xf>
    <xf numFmtId="0" fontId="0" fillId="0" borderId="0" xfId="0" applyFill="1" applyBorder="1" applyAlignment="1">
      <alignment horizontal="right"/>
    </xf>
    <xf numFmtId="0" fontId="34" fillId="15" borderId="0" xfId="0" applyFont="1" applyFill="1" applyBorder="1" applyAlignment="1" applyProtection="1">
      <alignment horizontal="right"/>
      <protection hidden="1"/>
    </xf>
    <xf numFmtId="0" fontId="34" fillId="15" borderId="8" xfId="0" applyFont="1" applyFill="1" applyBorder="1" applyAlignment="1" applyProtection="1">
      <alignment horizontal="right"/>
      <protection hidden="1"/>
    </xf>
    <xf numFmtId="0" fontId="0" fillId="0" borderId="1" xfId="0" applyFill="1" applyBorder="1"/>
    <xf numFmtId="0" fontId="0" fillId="0" borderId="1" xfId="0" applyBorder="1" applyAlignment="1">
      <alignment horizontal="center"/>
    </xf>
    <xf numFmtId="1" fontId="0" fillId="0" borderId="26" xfId="0" applyNumberFormat="1" applyFill="1" applyBorder="1" applyProtection="1">
      <protection hidden="1"/>
    </xf>
    <xf numFmtId="0" fontId="13" fillId="15" borderId="5" xfId="0" applyFont="1" applyFill="1" applyBorder="1" applyAlignment="1" applyProtection="1">
      <alignment horizontal="right"/>
      <protection hidden="1"/>
    </xf>
    <xf numFmtId="0" fontId="0" fillId="0" borderId="0" xfId="0" applyAlignment="1">
      <alignment horizontal="left" vertical="center"/>
    </xf>
    <xf numFmtId="0" fontId="0" fillId="0" borderId="1" xfId="0" applyBorder="1" applyAlignment="1">
      <alignment horizontal="left" vertical="center"/>
    </xf>
    <xf numFmtId="0" fontId="0" fillId="15" borderId="31" xfId="0" applyFill="1" applyBorder="1" applyAlignment="1" applyProtection="1">
      <alignment horizontal="center"/>
      <protection hidden="1"/>
    </xf>
    <xf numFmtId="0" fontId="0" fillId="15" borderId="31" xfId="0" applyFont="1" applyFill="1" applyBorder="1" applyAlignment="1" applyProtection="1">
      <alignment horizontal="center"/>
      <protection hidden="1"/>
    </xf>
    <xf numFmtId="0" fontId="0" fillId="15" borderId="33" xfId="0" applyFont="1" applyFill="1" applyBorder="1" applyAlignment="1" applyProtection="1">
      <alignment horizontal="left"/>
      <protection hidden="1"/>
    </xf>
    <xf numFmtId="0" fontId="17" fillId="0" borderId="0" xfId="0" applyFont="1" applyBorder="1"/>
    <xf numFmtId="0" fontId="17" fillId="15" borderId="0" xfId="0" applyFont="1" applyFill="1" applyBorder="1"/>
    <xf numFmtId="0" fontId="0" fillId="0" borderId="0" xfId="0" applyFont="1" applyFill="1" applyBorder="1"/>
    <xf numFmtId="0" fontId="15" fillId="0" borderId="0" xfId="0" applyFont="1" applyFill="1"/>
    <xf numFmtId="167" fontId="0" fillId="0" borderId="10" xfId="0" applyNumberFormat="1" applyFill="1" applyBorder="1" applyProtection="1">
      <protection hidden="1"/>
    </xf>
    <xf numFmtId="0" fontId="0" fillId="15" borderId="5" xfId="0" applyFont="1" applyFill="1" applyBorder="1" applyAlignment="1" applyProtection="1">
      <alignment horizontal="right"/>
      <protection hidden="1"/>
    </xf>
    <xf numFmtId="0" fontId="0" fillId="15" borderId="6" xfId="0" applyFont="1" applyFill="1" applyBorder="1" applyAlignment="1" applyProtection="1">
      <alignment horizontal="left"/>
      <protection hidden="1"/>
    </xf>
    <xf numFmtId="167" fontId="0" fillId="7" borderId="25" xfId="0" applyNumberFormat="1" applyFill="1" applyBorder="1" applyProtection="1">
      <protection locked="0" hidden="1"/>
    </xf>
    <xf numFmtId="0" fontId="0" fillId="7" borderId="25" xfId="0" applyNumberFormat="1" applyFill="1" applyBorder="1" applyProtection="1">
      <protection locked="0" hidden="1"/>
    </xf>
    <xf numFmtId="164" fontId="0" fillId="0" borderId="26" xfId="0" applyNumberFormat="1" applyFont="1" applyFill="1" applyBorder="1" applyProtection="1">
      <protection hidden="1"/>
    </xf>
    <xf numFmtId="2" fontId="0" fillId="0" borderId="0" xfId="0" applyNumberFormat="1" applyFill="1" applyBorder="1" applyProtection="1">
      <protection hidden="1"/>
    </xf>
    <xf numFmtId="0" fontId="5" fillId="0" borderId="0" xfId="3" applyFont="1" applyAlignment="1">
      <alignment horizontal="center"/>
    </xf>
    <xf numFmtId="167" fontId="0" fillId="15" borderId="5" xfId="0" applyNumberFormat="1" applyFill="1" applyBorder="1" applyProtection="1">
      <protection hidden="1"/>
    </xf>
    <xf numFmtId="167" fontId="0" fillId="15" borderId="7" xfId="0" applyNumberFormat="1" applyFill="1" applyBorder="1" applyProtection="1">
      <protection hidden="1"/>
    </xf>
    <xf numFmtId="164" fontId="15" fillId="15" borderId="0" xfId="0" applyNumberFormat="1" applyFont="1" applyFill="1"/>
    <xf numFmtId="164" fontId="0" fillId="15" borderId="25" xfId="0" applyNumberFormat="1" applyFill="1" applyBorder="1" applyProtection="1">
      <protection hidden="1"/>
    </xf>
    <xf numFmtId="0" fontId="3" fillId="0" borderId="0" xfId="3" applyFont="1"/>
    <xf numFmtId="0" fontId="3" fillId="5" borderId="0" xfId="3" applyFont="1" applyFill="1" applyAlignment="1">
      <alignment horizontal="right"/>
    </xf>
    <xf numFmtId="167" fontId="0" fillId="15" borderId="24" xfId="0" applyNumberFormat="1" applyFont="1" applyFill="1" applyBorder="1" applyAlignment="1" applyProtection="1">
      <alignment vertical="center"/>
      <protection hidden="1"/>
    </xf>
    <xf numFmtId="0" fontId="0" fillId="15" borderId="25" xfId="0" applyFont="1" applyFill="1" applyBorder="1" applyAlignment="1" applyProtection="1">
      <alignment vertical="top"/>
      <protection hidden="1"/>
    </xf>
    <xf numFmtId="167" fontId="0" fillId="15" borderId="25" xfId="0" applyNumberFormat="1" applyFont="1" applyFill="1" applyBorder="1" applyAlignment="1" applyProtection="1">
      <alignment vertical="center"/>
      <protection hidden="1"/>
    </xf>
    <xf numFmtId="167" fontId="0" fillId="15" borderId="25" xfId="0" applyNumberFormat="1" applyFont="1" applyFill="1" applyBorder="1" applyAlignment="1" applyProtection="1">
      <alignment horizontal="right" vertical="center"/>
      <protection hidden="1"/>
    </xf>
    <xf numFmtId="0" fontId="0" fillId="15" borderId="25" xfId="0" applyFont="1" applyFill="1" applyBorder="1" applyAlignment="1" applyProtection="1">
      <alignment horizontal="right" vertical="center"/>
      <protection hidden="1"/>
    </xf>
    <xf numFmtId="0" fontId="59" fillId="0" borderId="0" xfId="0" applyFont="1"/>
    <xf numFmtId="0" fontId="39" fillId="15" borderId="0" xfId="1" applyNumberFormat="1" applyFont="1" applyFill="1" applyAlignment="1">
      <alignment horizontal="left"/>
    </xf>
    <xf numFmtId="0" fontId="62" fillId="0" borderId="0" xfId="0" applyFont="1"/>
    <xf numFmtId="0" fontId="4" fillId="0" borderId="12" xfId="3" applyBorder="1"/>
    <xf numFmtId="0" fontId="4" fillId="0" borderId="34" xfId="3" applyBorder="1"/>
    <xf numFmtId="0" fontId="4" fillId="0" borderId="35" xfId="3" applyBorder="1"/>
    <xf numFmtId="0" fontId="4" fillId="0" borderId="36" xfId="3" applyBorder="1"/>
    <xf numFmtId="0" fontId="62" fillId="0" borderId="0" xfId="0" quotePrefix="1" applyFont="1"/>
    <xf numFmtId="0" fontId="63" fillId="0" borderId="0" xfId="0" applyFont="1"/>
    <xf numFmtId="170" fontId="0" fillId="11" borderId="0" xfId="10" applyNumberFormat="1" applyFont="1" applyFill="1"/>
    <xf numFmtId="0" fontId="13" fillId="15" borderId="2" xfId="3" applyFont="1" applyFill="1" applyBorder="1" applyAlignment="1" applyProtection="1">
      <alignment horizontal="right"/>
      <protection hidden="1"/>
    </xf>
    <xf numFmtId="0" fontId="13" fillId="15" borderId="4" xfId="3" applyFont="1" applyFill="1" applyBorder="1" applyAlignment="1" applyProtection="1">
      <alignment horizontal="right"/>
      <protection hidden="1"/>
    </xf>
    <xf numFmtId="0" fontId="3" fillId="0" borderId="0" xfId="3" applyFont="1" applyBorder="1" applyAlignment="1">
      <alignment horizontal="center"/>
    </xf>
    <xf numFmtId="0" fontId="0" fillId="15" borderId="32" xfId="0" applyFill="1" applyBorder="1" applyProtection="1">
      <protection hidden="1"/>
    </xf>
    <xf numFmtId="0" fontId="0" fillId="20" borderId="0" xfId="0" applyFill="1"/>
    <xf numFmtId="0" fontId="0" fillId="20" borderId="0" xfId="0" applyFill="1" applyAlignment="1">
      <alignment horizontal="left" vertical="center"/>
    </xf>
    <xf numFmtId="0" fontId="65" fillId="15" borderId="4" xfId="0" applyFont="1" applyFill="1" applyBorder="1" applyProtection="1">
      <protection hidden="1"/>
    </xf>
    <xf numFmtId="1" fontId="0" fillId="0" borderId="0" xfId="0" applyNumberFormat="1" applyFill="1"/>
    <xf numFmtId="0" fontId="0" fillId="20" borderId="0" xfId="0" applyFill="1" applyAlignment="1">
      <alignment horizontal="right"/>
    </xf>
    <xf numFmtId="0" fontId="0" fillId="15" borderId="32" xfId="0" applyFill="1" applyBorder="1" applyAlignment="1" applyProtection="1">
      <alignment horizontal="left"/>
      <protection hidden="1"/>
    </xf>
    <xf numFmtId="0" fontId="0" fillId="15" borderId="33" xfId="0" applyFill="1" applyBorder="1" applyAlignment="1" applyProtection="1">
      <alignment horizontal="left"/>
      <protection hidden="1"/>
    </xf>
    <xf numFmtId="0" fontId="22" fillId="15" borderId="2" xfId="0" applyFont="1" applyFill="1" applyBorder="1" applyAlignment="1" applyProtection="1">
      <alignment horizontal="center"/>
      <protection hidden="1"/>
    </xf>
    <xf numFmtId="0" fontId="22" fillId="15" borderId="4" xfId="0" applyFont="1" applyFill="1" applyBorder="1" applyAlignment="1" applyProtection="1">
      <alignment horizontal="center"/>
      <protection hidden="1"/>
    </xf>
    <xf numFmtId="0" fontId="22" fillId="15" borderId="2"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vertical="center"/>
      <protection hidden="1"/>
    </xf>
    <xf numFmtId="0" fontId="22" fillId="15" borderId="4" xfId="0" applyFont="1" applyFill="1" applyBorder="1" applyAlignment="1" applyProtection="1">
      <alignment horizontal="center" vertical="center"/>
      <protection hidden="1"/>
    </xf>
    <xf numFmtId="0" fontId="22" fillId="15" borderId="3" xfId="0" applyFont="1" applyFill="1" applyBorder="1" applyAlignment="1" applyProtection="1">
      <alignment horizontal="center"/>
      <protection hidden="1"/>
    </xf>
    <xf numFmtId="0" fontId="0" fillId="15" borderId="5" xfId="0" applyFont="1" applyFill="1" applyBorder="1" applyAlignment="1" applyProtection="1">
      <alignment horizontal="left"/>
      <protection hidden="1"/>
    </xf>
    <xf numFmtId="0" fontId="0" fillId="15" borderId="6" xfId="0" applyFont="1" applyFill="1" applyBorder="1" applyAlignment="1" applyProtection="1">
      <alignment horizontal="left"/>
      <protection hidden="1"/>
    </xf>
    <xf numFmtId="0" fontId="15" fillId="15" borderId="5" xfId="0" applyFont="1" applyFill="1" applyBorder="1" applyAlignment="1" applyProtection="1">
      <alignment horizontal="left"/>
      <protection hidden="1"/>
    </xf>
    <xf numFmtId="0" fontId="15" fillId="15" borderId="6" xfId="0" applyFont="1" applyFill="1" applyBorder="1" applyAlignment="1" applyProtection="1">
      <alignment horizontal="left"/>
      <protection hidden="1"/>
    </xf>
    <xf numFmtId="0" fontId="6" fillId="2" borderId="0" xfId="3" applyFont="1" applyFill="1" applyAlignment="1">
      <alignment horizontal="center"/>
    </xf>
    <xf numFmtId="0" fontId="5" fillId="0" borderId="0" xfId="3" applyFont="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4" fillId="0" borderId="0" xfId="3"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62" fillId="0" borderId="3" xfId="0" applyFont="1" applyBorder="1" applyAlignment="1">
      <alignment horizontal="center"/>
    </xf>
    <xf numFmtId="0" fontId="62" fillId="0" borderId="4" xfId="0" applyFont="1" applyBorder="1" applyAlignment="1">
      <alignment horizontal="center"/>
    </xf>
    <xf numFmtId="0" fontId="22" fillId="0" borderId="10" xfId="0" applyFont="1"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22" fillId="0" borderId="2" xfId="0" applyFont="1" applyBorder="1" applyAlignment="1">
      <alignment horizontal="center"/>
    </xf>
    <xf numFmtId="0" fontId="22" fillId="0" borderId="4" xfId="0" applyFont="1" applyBorder="1" applyAlignment="1">
      <alignment horizontal="center"/>
    </xf>
    <xf numFmtId="0" fontId="62" fillId="0" borderId="11" xfId="0" applyFont="1" applyBorder="1" applyAlignment="1">
      <alignment horizontal="center"/>
    </xf>
    <xf numFmtId="0" fontId="62" fillId="0" borderId="12" xfId="0" applyFont="1" applyBorder="1" applyAlignment="1">
      <alignment horizontal="center"/>
    </xf>
    <xf numFmtId="0" fontId="0" fillId="0" borderId="20" xfId="0" applyBorder="1" applyAlignment="1">
      <alignment horizontal="center" wrapText="1"/>
    </xf>
    <xf numFmtId="0" fontId="0" fillId="0" borderId="29"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0" fillId="0" borderId="0" xfId="0" applyAlignment="1">
      <alignment horizontal="center"/>
    </xf>
    <xf numFmtId="0" fontId="40" fillId="15" borderId="0" xfId="1" applyFont="1" applyFill="1" applyAlignment="1">
      <alignment wrapText="1"/>
    </xf>
    <xf numFmtId="0" fontId="38" fillId="0" borderId="0" xfId="1" applyFont="1" applyAlignment="1">
      <alignment horizontal="center"/>
    </xf>
    <xf numFmtId="0" fontId="38" fillId="18" borderId="0" xfId="1" applyFont="1" applyFill="1" applyAlignment="1">
      <alignment horizontal="center"/>
    </xf>
    <xf numFmtId="0" fontId="43" fillId="19" borderId="0" xfId="1" applyFont="1" applyFill="1" applyAlignment="1">
      <alignment horizontal="left"/>
    </xf>
    <xf numFmtId="0" fontId="40" fillId="15" borderId="0" xfId="1" applyFont="1" applyFill="1" applyAlignment="1">
      <alignment horizontal="left"/>
    </xf>
    <xf numFmtId="167" fontId="0" fillId="0" borderId="25" xfId="0" applyNumberFormat="1" applyFill="1" applyBorder="1" applyProtection="1">
      <protection hidden="1"/>
    </xf>
  </cellXfs>
  <cellStyles count="11">
    <cellStyle name="Comma 2" xfId="5" xr:uid="{00000000-0005-0000-0000-000000000000}"/>
    <cellStyle name="Comma 3" xfId="2" xr:uid="{00000000-0005-0000-0000-000001000000}"/>
    <cellStyle name="Hyperlink" xfId="9" builtinId="8"/>
    <cellStyle name="Hyperlink 2" xfId="8" xr:uid="{2D44B194-6E86-457B-8D54-4B5F163423F1}"/>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 name="Percent" xfId="10" builtinId="5"/>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1"/>
      </font>
      <fill>
        <patternFill>
          <bgColor rgb="FFFF0000"/>
        </patternFill>
      </fill>
    </dxf>
    <dxf>
      <font>
        <b val="0"/>
        <i val="0"/>
        <strike val="0"/>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val="0"/>
        <i val="0"/>
        <color auto="1"/>
      </font>
      <fill>
        <patternFill patternType="solid">
          <bgColor rgb="FFFF0000"/>
        </patternFill>
      </fill>
    </dxf>
  </dxfs>
  <tableStyles count="0" defaultTableStyle="TableStyleMedium2" defaultPivotStyle="PivotStyleLight16"/>
  <colors>
    <mruColors>
      <color rgb="FFFF66FF"/>
      <color rgb="FF09BEF7"/>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19.267406677859491</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-14.234353089863438</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DB7B-4578-A2FD-34A838A3EC7C}"/>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DB7B-4578-A2FD-34A838A3EC7C}"/>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B7B-4578-A2FD-34A838A3EC7C}"/>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203.05298447296983</c:v>
                </c:pt>
              </c:numCache>
            </c:numRef>
          </c:xVal>
          <c:yVal>
            <c:numRef>
              <c:f>Loop_Modeling!$BO$11</c:f>
              <c:numCache>
                <c:formatCode>General</c:formatCode>
                <c:ptCount val="1"/>
                <c:pt idx="0">
                  <c:v>20.955788361774719</c:v>
                </c:pt>
              </c:numCache>
            </c:numRef>
          </c:yVal>
          <c:smooth val="0"/>
          <c:extLst>
            <c:ext xmlns:c16="http://schemas.microsoft.com/office/drawing/2014/chart" uri="{C3380CC4-5D6E-409C-BE32-E72D297353CC}">
              <c16:uniqueId val="{00000002-DB7B-4578-A2FD-34A838A3EC7C}"/>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20203.470461913326</c:v>
                </c:pt>
              </c:numCache>
            </c:numRef>
          </c:xVal>
          <c:yVal>
            <c:numRef>
              <c:f>Loop_Modeling!$BO$9</c:f>
              <c:numCache>
                <c:formatCode>General</c:formatCode>
                <c:ptCount val="1"/>
                <c:pt idx="0">
                  <c:v>-23.210846315731906</c:v>
                </c:pt>
              </c:numCache>
            </c:numRef>
          </c:yVal>
          <c:smooth val="1"/>
          <c:extLst>
            <c:ext xmlns:c16="http://schemas.microsoft.com/office/drawing/2014/chart" uri="{C3380CC4-5D6E-409C-BE32-E72D297353CC}">
              <c16:uniqueId val="{00000004-DB7B-4578-A2FD-34A838A3EC7C}"/>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DB7B-4578-A2FD-34A838A3EC7C}"/>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B7B-4578-A2FD-34A838A3EC7C}"/>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176838.82565766151</c:v>
                </c:pt>
              </c:numCache>
            </c:numRef>
          </c:xVal>
          <c:yVal>
            <c:numRef>
              <c:f>Loop_Modeling!$BO$10</c:f>
              <c:numCache>
                <c:formatCode>General</c:formatCode>
                <c:ptCount val="1"/>
                <c:pt idx="0">
                  <c:v>-43.062966955857284</c:v>
                </c:pt>
              </c:numCache>
            </c:numRef>
          </c:yVal>
          <c:smooth val="1"/>
          <c:extLst>
            <c:ext xmlns:c16="http://schemas.microsoft.com/office/drawing/2014/chart" uri="{C3380CC4-5D6E-409C-BE32-E72D297353CC}">
              <c16:uniqueId val="{00000006-DB7B-4578-A2FD-34A838A3EC7C}"/>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B7B-4578-A2FD-34A838A3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169.31376924669715</c:v>
                </c:pt>
              </c:numCache>
            </c:numRef>
          </c:xVal>
          <c:yVal>
            <c:numRef>
              <c:f>Loop_Modeling!$BO$12</c:f>
              <c:numCache>
                <c:formatCode>General</c:formatCode>
                <c:ptCount val="1"/>
                <c:pt idx="0">
                  <c:v>22.392179171342249</c:v>
                </c:pt>
              </c:numCache>
            </c:numRef>
          </c:yVal>
          <c:smooth val="1"/>
          <c:extLst>
            <c:ext xmlns:c16="http://schemas.microsoft.com/office/drawing/2014/chart" uri="{C3380CC4-5D6E-409C-BE32-E72D297353CC}">
              <c16:uniqueId val="{00000008-DB7B-4578-A2FD-34A838A3EC7C}"/>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B7B-4578-A2FD-34A838A3EC7C}"/>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8127.0609238414627</c:v>
                </c:pt>
              </c:numCache>
            </c:numRef>
          </c:xVal>
          <c:yVal>
            <c:numRef>
              <c:f>Loop_Modeling!$BO$13</c:f>
              <c:numCache>
                <c:formatCode>General</c:formatCode>
                <c:ptCount val="1"/>
                <c:pt idx="0">
                  <c:v>-12.615112658048087</c:v>
                </c:pt>
              </c:numCache>
            </c:numRef>
          </c:yVal>
          <c:smooth val="1"/>
          <c:extLst>
            <c:ext xmlns:c16="http://schemas.microsoft.com/office/drawing/2014/chart" uri="{C3380CC4-5D6E-409C-BE32-E72D297353CC}">
              <c16:uniqueId val="{0000000A-DB7B-4578-A2FD-34A838A3EC7C}"/>
            </c:ext>
          </c:extLst>
        </c:ser>
        <c:dLbls>
          <c:showLegendKey val="0"/>
          <c:showVal val="0"/>
          <c:showCatName val="0"/>
          <c:showSerName val="0"/>
          <c:showPercent val="0"/>
          <c:showBubbleSize val="0"/>
        </c:dLbls>
        <c:axId val="357835904"/>
        <c:axId val="364477056"/>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93.011791719771878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92.577122809680063</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19.636258496621387</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B-DB7B-4578-A2FD-34A838A3EC7C}"/>
            </c:ext>
          </c:extLst>
        </c:ser>
        <c:dLbls>
          <c:showLegendKey val="0"/>
          <c:showVal val="0"/>
          <c:showCatName val="0"/>
          <c:showSerName val="0"/>
          <c:showPercent val="0"/>
          <c:showBubbleSize val="0"/>
        </c:dLbls>
        <c:axId val="387647744"/>
        <c:axId val="364517248"/>
      </c:scatterChart>
      <c:valAx>
        <c:axId val="357835904"/>
        <c:scaling>
          <c:logBase val="10"/>
          <c:orientation val="minMax"/>
          <c:max val="20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364477056"/>
        <c:crosses val="autoZero"/>
        <c:crossBetween val="midCat"/>
      </c:valAx>
      <c:valAx>
        <c:axId val="364477056"/>
        <c:scaling>
          <c:orientation val="minMax"/>
          <c:max val="80"/>
          <c:min val="-8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357835904"/>
        <c:crosses val="autoZero"/>
        <c:crossBetween val="midCat"/>
        <c:majorUnit val="20"/>
        <c:minorUnit val="10"/>
      </c:valAx>
      <c:valAx>
        <c:axId val="364517248"/>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387647744"/>
        <c:crosses val="max"/>
        <c:crossBetween val="midCat"/>
        <c:majorUnit val="90"/>
        <c:minorUnit val="45"/>
      </c:valAx>
      <c:valAx>
        <c:axId val="387647744"/>
        <c:scaling>
          <c:logBase val="10"/>
          <c:orientation val="minMax"/>
        </c:scaling>
        <c:delete val="1"/>
        <c:axPos val="b"/>
        <c:numFmt formatCode="0.00" sourceLinked="1"/>
        <c:majorTickMark val="out"/>
        <c:minorTickMark val="none"/>
        <c:tickLblPos val="nextTo"/>
        <c:crossAx val="364517248"/>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0B9C-490C-9A55-CBAB0B003695}"/>
            </c:ext>
          </c:extLst>
        </c:ser>
        <c:dLbls>
          <c:showLegendKey val="0"/>
          <c:showVal val="0"/>
          <c:showCatName val="0"/>
          <c:showSerName val="0"/>
          <c:showPercent val="0"/>
          <c:showBubbleSize val="0"/>
        </c:dLbls>
        <c:axId val="361445248"/>
        <c:axId val="361446784"/>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0B9C-490C-9A55-CBAB0B003695}"/>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0B9C-490C-9A55-CBAB0B003695}"/>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0B9C-490C-9A55-CBAB0B003695}"/>
            </c:ext>
          </c:extLst>
        </c:ser>
        <c:dLbls>
          <c:showLegendKey val="0"/>
          <c:showVal val="0"/>
          <c:showCatName val="0"/>
          <c:showSerName val="0"/>
          <c:showPercent val="0"/>
          <c:showBubbleSize val="0"/>
        </c:dLbls>
        <c:axId val="361467264"/>
        <c:axId val="361465344"/>
      </c:scatterChart>
      <c:valAx>
        <c:axId val="361445248"/>
        <c:scaling>
          <c:orientation val="minMax"/>
        </c:scaling>
        <c:delete val="0"/>
        <c:axPos val="b"/>
        <c:majorGridlines/>
        <c:numFmt formatCode="General" sourceLinked="1"/>
        <c:majorTickMark val="out"/>
        <c:minorTickMark val="none"/>
        <c:tickLblPos val="nextTo"/>
        <c:crossAx val="361446784"/>
        <c:crosses val="autoZero"/>
        <c:crossBetween val="midCat"/>
      </c:valAx>
      <c:valAx>
        <c:axId val="361446784"/>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361445248"/>
        <c:crosses val="autoZero"/>
        <c:crossBetween val="midCat"/>
      </c:valAx>
      <c:valAx>
        <c:axId val="361465344"/>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361467264"/>
        <c:crosses val="max"/>
        <c:crossBetween val="midCat"/>
      </c:valAx>
      <c:valAx>
        <c:axId val="361467264"/>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361465344"/>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CDCC-48C6-9CF0-E1F2D98B8528}"/>
            </c:ext>
          </c:extLst>
        </c:ser>
        <c:dLbls>
          <c:showLegendKey val="0"/>
          <c:showVal val="0"/>
          <c:showCatName val="0"/>
          <c:showSerName val="0"/>
          <c:showPercent val="0"/>
          <c:showBubbleSize val="0"/>
        </c:dLbls>
        <c:axId val="522488064"/>
        <c:axId val="522489856"/>
      </c:scatterChart>
      <c:scatterChart>
        <c:scatterStyle val="smoothMarker"/>
        <c:varyColors val="0"/>
        <c:ser>
          <c:idx val="1"/>
          <c:order val="1"/>
          <c:tx>
            <c:v>LS MOSFET</c:v>
          </c:tx>
          <c:spPr>
            <a:ln>
              <a:solidFill>
                <a:schemeClr val="tx2">
                  <a:lumMod val="75000"/>
                </a:schemeClr>
              </a:solidFill>
              <a:prstDash val="dash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CDCC-48C6-9CF0-E1F2D98B8528}"/>
            </c:ext>
          </c:extLst>
        </c:ser>
        <c:ser>
          <c:idx val="2"/>
          <c:order val="2"/>
          <c:tx>
            <c:v>HS MOSFET</c:v>
          </c:tx>
          <c:spPr>
            <a:ln>
              <a:solidFill>
                <a:schemeClr val="bg2">
                  <a:lumMod val="50000"/>
                </a:schemeClr>
              </a:solidFill>
              <a:prstDash val="sysDash"/>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CDCC-48C6-9CF0-E1F2D98B8528}"/>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CDCC-48C6-9CF0-E1F2D98B8528}"/>
            </c:ext>
          </c:extLst>
        </c:ser>
        <c:dLbls>
          <c:showLegendKey val="0"/>
          <c:showVal val="0"/>
          <c:showCatName val="0"/>
          <c:showSerName val="0"/>
          <c:showPercent val="0"/>
          <c:showBubbleSize val="0"/>
        </c:dLbls>
        <c:axId val="522502144"/>
        <c:axId val="522491776"/>
      </c:scatterChart>
      <c:valAx>
        <c:axId val="522488064"/>
        <c:scaling>
          <c:orientation val="minMax"/>
        </c:scaling>
        <c:delete val="0"/>
        <c:axPos val="b"/>
        <c:majorGridlines/>
        <c:numFmt formatCode="General" sourceLinked="1"/>
        <c:majorTickMark val="out"/>
        <c:minorTickMark val="none"/>
        <c:tickLblPos val="nextTo"/>
        <c:crossAx val="522489856"/>
        <c:crosses val="autoZero"/>
        <c:crossBetween val="midCat"/>
      </c:valAx>
      <c:valAx>
        <c:axId val="522489856"/>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522488064"/>
        <c:crosses val="autoZero"/>
        <c:crossBetween val="midCat"/>
      </c:valAx>
      <c:valAx>
        <c:axId val="522491776"/>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522502144"/>
        <c:crosses val="max"/>
        <c:crossBetween val="midCat"/>
      </c:valAx>
      <c:valAx>
        <c:axId val="522502144"/>
        <c:scaling>
          <c:orientation val="minMax"/>
        </c:scaling>
        <c:delete val="1"/>
        <c:axPos val="b"/>
        <c:title>
          <c:tx>
            <c:rich>
              <a:bodyPr/>
              <a:lstStyle/>
              <a:p>
                <a:pPr>
                  <a:defRPr/>
                </a:pPr>
                <a:r>
                  <a:rPr lang="en-US"/>
                  <a:t>Per Phase</a:t>
                </a:r>
                <a:r>
                  <a:rPr lang="en-US" baseline="0"/>
                  <a:t> </a:t>
                </a:r>
                <a:r>
                  <a:rPr lang="en-US"/>
                  <a:t>Load</a:t>
                </a:r>
                <a:r>
                  <a:rPr lang="en-US" baseline="0"/>
                  <a:t> Current (A)</a:t>
                </a:r>
                <a:endParaRPr lang="en-US"/>
              </a:p>
            </c:rich>
          </c:tx>
          <c:overlay val="0"/>
        </c:title>
        <c:numFmt formatCode="General" sourceLinked="1"/>
        <c:majorTickMark val="out"/>
        <c:minorTickMark val="none"/>
        <c:tickLblPos val="nextTo"/>
        <c:crossAx val="522491776"/>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CCM 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Loop_Modeling!$AG$19:$AG$560</c:f>
              <c:numCache>
                <c:formatCode>0.000</c:formatCode>
                <c:ptCount val="542"/>
                <c:pt idx="0">
                  <c:v>25.369524824175414</c:v>
                </c:pt>
                <c:pt idx="1">
                  <c:v>25.369006417357554</c:v>
                </c:pt>
                <c:pt idx="2">
                  <c:v>25.368463645110879</c:v>
                </c:pt>
                <c:pt idx="3">
                  <c:v>25.367895365509415</c:v>
                </c:pt>
                <c:pt idx="4">
                  <c:v>25.367300383422986</c:v>
                </c:pt>
                <c:pt idx="5">
                  <c:v>25.366677448068238</c:v>
                </c:pt>
                <c:pt idx="6">
                  <c:v>25.366025250450349</c:v>
                </c:pt>
                <c:pt idx="7">
                  <c:v>25.365342420690176</c:v>
                </c:pt>
                <c:pt idx="8">
                  <c:v>25.364627525231732</c:v>
                </c:pt>
                <c:pt idx="9">
                  <c:v>25.363879063926092</c:v>
                </c:pt>
                <c:pt idx="10">
                  <c:v>25.363095466985399</c:v>
                </c:pt>
                <c:pt idx="11">
                  <c:v>25.362275091802506</c:v>
                </c:pt>
                <c:pt idx="12">
                  <c:v>25.361416219630136</c:v>
                </c:pt>
                <c:pt idx="13">
                  <c:v>25.360517052114197</c:v>
                </c:pt>
                <c:pt idx="14">
                  <c:v>25.359575707675237</c:v>
                </c:pt>
                <c:pt idx="15">
                  <c:v>25.358590217732157</c:v>
                </c:pt>
                <c:pt idx="16">
                  <c:v>25.357558522761639</c:v>
                </c:pt>
                <c:pt idx="17">
                  <c:v>25.35647846818696</c:v>
                </c:pt>
                <c:pt idx="18">
                  <c:v>25.355347800090001</c:v>
                </c:pt>
                <c:pt idx="19">
                  <c:v>25.354164160738776</c:v>
                </c:pt>
                <c:pt idx="20">
                  <c:v>25.352925083924291</c:v>
                </c:pt>
                <c:pt idx="21">
                  <c:v>25.351627990099544</c:v>
                </c:pt>
                <c:pt idx="22">
                  <c:v>25.350270181312418</c:v>
                </c:pt>
                <c:pt idx="23">
                  <c:v>25.348848835926635</c:v>
                </c:pt>
                <c:pt idx="24">
                  <c:v>25.347361003121271</c:v>
                </c:pt>
                <c:pt idx="25">
                  <c:v>25.345803597162899</c:v>
                </c:pt>
                <c:pt idx="26">
                  <c:v>25.344173391441021</c:v>
                </c:pt>
                <c:pt idx="27">
                  <c:v>25.342467012259405</c:v>
                </c:pt>
                <c:pt idx="28">
                  <c:v>25.34068093237579</c:v>
                </c:pt>
                <c:pt idx="29">
                  <c:v>25.338811464280319</c:v>
                </c:pt>
                <c:pt idx="30">
                  <c:v>25.336854753206076</c:v>
                </c:pt>
                <c:pt idx="31">
                  <c:v>25.334806769862755</c:v>
                </c:pt>
                <c:pt idx="32">
                  <c:v>25.332663302884786</c:v>
                </c:pt>
                <c:pt idx="33">
                  <c:v>25.330419950986975</c:v>
                </c:pt>
                <c:pt idx="34">
                  <c:v>25.328072114818049</c:v>
                </c:pt>
                <c:pt idx="35">
                  <c:v>25.325614988505333</c:v>
                </c:pt>
                <c:pt idx="36">
                  <c:v>25.323043550882474</c:v>
                </c:pt>
                <c:pt idx="37">
                  <c:v>25.320352556391793</c:v>
                </c:pt>
                <c:pt idx="38">
                  <c:v>25.317536525655143</c:v>
                </c:pt>
                <c:pt idx="39">
                  <c:v>25.314589735705621</c:v>
                </c:pt>
                <c:pt idx="40">
                  <c:v>25.311506209873325</c:v>
                </c:pt>
                <c:pt idx="41">
                  <c:v>25.308279707320253</c:v>
                </c:pt>
                <c:pt idx="42">
                  <c:v>25.304903712217271</c:v>
                </c:pt>
                <c:pt idx="43">
                  <c:v>25.301371422559793</c:v>
                </c:pt>
                <c:pt idx="44">
                  <c:v>25.297675738617276</c:v>
                </c:pt>
                <c:pt idx="45">
                  <c:v>25.293809251013503</c:v>
                </c:pt>
                <c:pt idx="46">
                  <c:v>25.289764228436265</c:v>
                </c:pt>
                <c:pt idx="47">
                  <c:v>25.28553260497435</c:v>
                </c:pt>
                <c:pt idx="48">
                  <c:v>25.281105967083057</c:v>
                </c:pt>
                <c:pt idx="49">
                  <c:v>25.276475540179717</c:v>
                </c:pt>
                <c:pt idx="50">
                  <c:v>25.271632174872508</c:v>
                </c:pt>
                <c:pt idx="51">
                  <c:v>25.266566332827949</c:v>
                </c:pt>
                <c:pt idx="52">
                  <c:v>25.261268072284171</c:v>
                </c:pt>
                <c:pt idx="53">
                  <c:v>25.25572703321917</c:v>
                </c:pt>
                <c:pt idx="54">
                  <c:v>25.249932422186198</c:v>
                </c:pt>
                <c:pt idx="55">
                  <c:v>25.243872996830603</c:v>
                </c:pt>
                <c:pt idx="56">
                  <c:v>25.237537050104756</c:v>
                </c:pt>
                <c:pt idx="57">
                  <c:v>25.230912394202939</c:v>
                </c:pt>
                <c:pt idx="58">
                  <c:v>25.223986344238632</c:v>
                </c:pt>
                <c:pt idx="59">
                  <c:v>25.216745701692634</c:v>
                </c:pt>
                <c:pt idx="60">
                  <c:v>25.209176737663835</c:v>
                </c:pt>
                <c:pt idx="61">
                  <c:v>25.201265175957058</c:v>
                </c:pt>
                <c:pt idx="62">
                  <c:v>25.192996176051238</c:v>
                </c:pt>
                <c:pt idx="63">
                  <c:v>25.18435431599049</c:v>
                </c:pt>
                <c:pt idx="64">
                  <c:v>25.1753235752508</c:v>
                </c:pt>
                <c:pt idx="65">
                  <c:v>25.165887317638656</c:v>
                </c:pt>
                <c:pt idx="66">
                  <c:v>25.156028274283159</c:v>
                </c:pt>
                <c:pt idx="67">
                  <c:v>25.145728526791299</c:v>
                </c:pt>
                <c:pt idx="68">
                  <c:v>25.134969490641392</c:v>
                </c:pt>
                <c:pt idx="69">
                  <c:v>25.123731898896938</c:v>
                </c:pt>
                <c:pt idx="70">
                  <c:v>25.111995786331498</c:v>
                </c:pt>
                <c:pt idx="71">
                  <c:v>25.099740474060582</c:v>
                </c:pt>
                <c:pt idx="72">
                  <c:v>25.086944554786189</c:v>
                </c:pt>
                <c:pt idx="73">
                  <c:v>25.073585878768011</c:v>
                </c:pt>
                <c:pt idx="74">
                  <c:v>25.059641540641113</c:v>
                </c:pt>
                <c:pt idx="75">
                  <c:v>25.045087867211269</c:v>
                </c:pt>
                <c:pt idx="76">
                  <c:v>25.029900406364675</c:v>
                </c:pt>
                <c:pt idx="77">
                  <c:v>25.01405391724078</c:v>
                </c:pt>
                <c:pt idx="78">
                  <c:v>24.997522361821115</c:v>
                </c:pt>
                <c:pt idx="79">
                  <c:v>24.980278898098508</c:v>
                </c:pt>
                <c:pt idx="80">
                  <c:v>24.962295874997128</c:v>
                </c:pt>
                <c:pt idx="81">
                  <c:v>24.943544829222834</c:v>
                </c:pt>
                <c:pt idx="82">
                  <c:v>24.923996484227654</c:v>
                </c:pt>
                <c:pt idx="83">
                  <c:v>24.903620751482073</c:v>
                </c:pt>
                <c:pt idx="84">
                  <c:v>24.882386734250627</c:v>
                </c:pt>
                <c:pt idx="85">
                  <c:v>24.860262734073405</c:v>
                </c:pt>
                <c:pt idx="86">
                  <c:v>24.837216260157824</c:v>
                </c:pt>
                <c:pt idx="87">
                  <c:v>24.813214041887143</c:v>
                </c:pt>
                <c:pt idx="88">
                  <c:v>24.78822204465288</c:v>
                </c:pt>
                <c:pt idx="89">
                  <c:v>24.762205489216083</c:v>
                </c:pt>
                <c:pt idx="90">
                  <c:v>24.735128874799489</c:v>
                </c:pt>
                <c:pt idx="91">
                  <c:v>24.706956006106079</c:v>
                </c:pt>
                <c:pt idx="92">
                  <c:v>24.677650024451903</c:v>
                </c:pt>
                <c:pt idx="93">
                  <c:v>24.647173443190013</c:v>
                </c:pt>
                <c:pt idx="94">
                  <c:v>24.615488187588234</c:v>
                </c:pt>
                <c:pt idx="95">
                  <c:v>24.582555639307643</c:v>
                </c:pt>
                <c:pt idx="96">
                  <c:v>24.548336685608113</c:v>
                </c:pt>
                <c:pt idx="97">
                  <c:v>24.512791773383174</c:v>
                </c:pt>
                <c:pt idx="98">
                  <c:v>24.475880968102757</c:v>
                </c:pt>
                <c:pt idx="99">
                  <c:v>24.437564017709402</c:v>
                </c:pt>
                <c:pt idx="100">
                  <c:v>24.397800421480781</c:v>
                </c:pt>
                <c:pt idx="101">
                  <c:v>24.35654950383676</c:v>
                </c:pt>
                <c:pt idx="102">
                  <c:v>24.313770493026038</c:v>
                </c:pt>
                <c:pt idx="103">
                  <c:v>24.269422604586492</c:v>
                </c:pt>
                <c:pt idx="104">
                  <c:v>24.223465129427201</c:v>
                </c:pt>
                <c:pt idx="105">
                  <c:v>24.175857526330514</c:v>
                </c:pt>
                <c:pt idx="106">
                  <c:v>24.126559518624259</c:v>
                </c:pt>
                <c:pt idx="107">
                  <c:v>24.075531194721108</c:v>
                </c:pt>
                <c:pt idx="108">
                  <c:v>24.022733112168275</c:v>
                </c:pt>
                <c:pt idx="109">
                  <c:v>23.968126404801126</c:v>
                </c:pt>
                <c:pt idx="110">
                  <c:v>23.911672892537045</c:v>
                </c:pt>
                <c:pt idx="111">
                  <c:v>23.853335193298708</c:v>
                </c:pt>
                <c:pt idx="112">
                  <c:v>23.793076836504191</c:v>
                </c:pt>
                <c:pt idx="113">
                  <c:v>23.730862377515326</c:v>
                </c:pt>
                <c:pt idx="114">
                  <c:v>23.666657512394028</c:v>
                </c:pt>
                <c:pt idx="115">
                  <c:v>23.600429192278533</c:v>
                </c:pt>
                <c:pt idx="116">
                  <c:v>23.532145736658197</c:v>
                </c:pt>
                <c:pt idx="117">
                  <c:v>23.46177694480216</c:v>
                </c:pt>
                <c:pt idx="118">
                  <c:v>23.389294204576618</c:v>
                </c:pt>
                <c:pt idx="119">
                  <c:v>23.314670597877885</c:v>
                </c:pt>
                <c:pt idx="120">
                  <c:v>23.237881001904196</c:v>
                </c:pt>
                <c:pt idx="121">
                  <c:v>23.158902185498835</c:v>
                </c:pt>
                <c:pt idx="122">
                  <c:v>23.077712899813321</c:v>
                </c:pt>
                <c:pt idx="123">
                  <c:v>22.994293962565493</c:v>
                </c:pt>
                <c:pt idx="124">
                  <c:v>22.908628335204938</c:v>
                </c:pt>
                <c:pt idx="125">
                  <c:v>22.820701192341733</c:v>
                </c:pt>
                <c:pt idx="126">
                  <c:v>22.730499982850244</c:v>
                </c:pt>
                <c:pt idx="127">
                  <c:v>22.6380144821233</c:v>
                </c:pt>
                <c:pt idx="128">
                  <c:v>22.543236835020441</c:v>
                </c:pt>
                <c:pt idx="129">
                  <c:v>22.446161589133244</c:v>
                </c:pt>
                <c:pt idx="130">
                  <c:v>22.346785718073438</c:v>
                </c:pt>
                <c:pt idx="131">
                  <c:v>22.245108634575491</c:v>
                </c:pt>
                <c:pt idx="132">
                  <c:v>22.141132193298844</c:v>
                </c:pt>
                <c:pt idx="133">
                  <c:v>22.034860683304409</c:v>
                </c:pt>
                <c:pt idx="134">
                  <c:v>21.926300810274157</c:v>
                </c:pt>
                <c:pt idx="135">
                  <c:v>21.815461668635994</c:v>
                </c:pt>
                <c:pt idx="136">
                  <c:v>21.702354703841493</c:v>
                </c:pt>
                <c:pt idx="137">
                  <c:v>21.586993665133711</c:v>
                </c:pt>
                <c:pt idx="138">
                  <c:v>21.469394549220475</c:v>
                </c:pt>
                <c:pt idx="139">
                  <c:v>21.349575535342403</c:v>
                </c:pt>
                <c:pt idx="140">
                  <c:v>21.227556912294432</c:v>
                </c:pt>
                <c:pt idx="141">
                  <c:v>21.103360998015074</c:v>
                </c:pt>
                <c:pt idx="142">
                  <c:v>20.977012052411347</c:v>
                </c:pt>
                <c:pt idx="143">
                  <c:v>20.848536184126758</c:v>
                </c:pt>
                <c:pt idx="144">
                  <c:v>20.717961251989479</c:v>
                </c:pt>
                <c:pt idx="145">
                  <c:v>20.585316761904949</c:v>
                </c:pt>
                <c:pt idx="146">
                  <c:v>20.450633759963171</c:v>
                </c:pt>
                <c:pt idx="147">
                  <c:v>20.313944722539453</c:v>
                </c:pt>
                <c:pt idx="148">
                  <c:v>20.17528344415927</c:v>
                </c:pt>
                <c:pt idx="149">
                  <c:v>20.03468492388243</c:v>
                </c:pt>
                <c:pt idx="150">
                  <c:v>19.892185250944451</c:v>
                </c:pt>
                <c:pt idx="151">
                  <c:v>19.747821490359179</c:v>
                </c:pt>
                <c:pt idx="152">
                  <c:v>19.601631569155458</c:v>
                </c:pt>
                <c:pt idx="153">
                  <c:v>19.453654163878923</c:v>
                </c:pt>
                <c:pt idx="154">
                  <c:v>19.303928589947091</c:v>
                </c:pt>
                <c:pt idx="155">
                  <c:v>19.152494693395354</c:v>
                </c:pt>
                <c:pt idx="156">
                  <c:v>18.999392745504743</c:v>
                </c:pt>
                <c:pt idx="157">
                  <c:v>18.844663340746834</c:v>
                </c:pt>
                <c:pt idx="158">
                  <c:v>18.688347298431136</c:v>
                </c:pt>
                <c:pt idx="159">
                  <c:v>18.530485568385316</c:v>
                </c:pt>
                <c:pt idx="160">
                  <c:v>18.371119140946661</c:v>
                </c:pt>
                <c:pt idx="161">
                  <c:v>18.210288961493468</c:v>
                </c:pt>
                <c:pt idx="162">
                  <c:v>18.048035849693274</c:v>
                </c:pt>
                <c:pt idx="163">
                  <c:v>17.884400423599423</c:v>
                </c:pt>
                <c:pt idx="164">
                  <c:v>17.719423028682961</c:v>
                </c:pt>
                <c:pt idx="165">
                  <c:v>17.553143671843955</c:v>
                </c:pt>
                <c:pt idx="166">
                  <c:v>17.385601960409179</c:v>
                </c:pt>
                <c:pt idx="167">
                  <c:v>17.216837046087498</c:v>
                </c:pt>
                <c:pt idx="168">
                  <c:v>17.046887573822229</c:v>
                </c:pt>
                <c:pt idx="169">
                  <c:v>16.875791635452181</c:v>
                </c:pt>
                <c:pt idx="170">
                  <c:v>16.703586728067993</c:v>
                </c:pt>
                <c:pt idx="171">
                  <c:v>16.53030971692775</c:v>
                </c:pt>
                <c:pt idx="172">
                  <c:v>16.355996802779654</c:v>
                </c:pt>
                <c:pt idx="173">
                  <c:v>16.180683493421949</c:v>
                </c:pt>
                <c:pt idx="174">
                  <c:v>16.004404579320774</c:v>
                </c:pt>
                <c:pt idx="175">
                  <c:v>15.827194113093698</c:v>
                </c:pt>
                <c:pt idx="176">
                  <c:v>15.64908539266307</c:v>
                </c:pt>
                <c:pt idx="177">
                  <c:v>15.470110947876531</c:v>
                </c:pt>
                <c:pt idx="178">
                  <c:v>15.290302530389861</c:v>
                </c:pt>
                <c:pt idx="179">
                  <c:v>15.109691106607796</c:v>
                </c:pt>
                <c:pt idx="180">
                  <c:v>14.928306853478258</c:v>
                </c:pt>
                <c:pt idx="181">
                  <c:v>14.746179156938501</c:v>
                </c:pt>
                <c:pt idx="182">
                  <c:v>14.563336612816119</c:v>
                </c:pt>
                <c:pt idx="183">
                  <c:v>14.379807029991508</c:v>
                </c:pt>
                <c:pt idx="184">
                  <c:v>14.195617435636194</c:v>
                </c:pt>
                <c:pt idx="185">
                  <c:v>14.010794082346369</c:v>
                </c:pt>
                <c:pt idx="186">
                  <c:v>13.825362456999283</c:v>
                </c:pt>
                <c:pt idx="187">
                  <c:v>13.639347291167493</c:v>
                </c:pt>
                <c:pt idx="188">
                  <c:v>13.45277257293494</c:v>
                </c:pt>
                <c:pt idx="189">
                  <c:v>13.265661559965219</c:v>
                </c:pt>
                <c:pt idx="190">
                  <c:v>13.078036793684383</c:v>
                </c:pt>
                <c:pt idx="191">
                  <c:v>12.889920114444566</c:v>
                </c:pt>
                <c:pt idx="192">
                  <c:v>12.701332677547775</c:v>
                </c:pt>
                <c:pt idx="193">
                  <c:v>12.512294970015054</c:v>
                </c:pt>
                <c:pt idx="194">
                  <c:v>12.32282682799411</c:v>
                </c:pt>
                <c:pt idx="195">
                  <c:v>12.132947454709546</c:v>
                </c:pt>
                <c:pt idx="196">
                  <c:v>11.942675438863722</c:v>
                </c:pt>
                <c:pt idx="197">
                  <c:v>11.752028773407034</c:v>
                </c:pt>
                <c:pt idx="198">
                  <c:v>11.561024874602397</c:v>
                </c:pt>
                <c:pt idx="199">
                  <c:v>11.369680601315441</c:v>
                </c:pt>
                <c:pt idx="200">
                  <c:v>11.178012274469362</c:v>
                </c:pt>
                <c:pt idx="201">
                  <c:v>10.986035696609244</c:v>
                </c:pt>
                <c:pt idx="202">
                  <c:v>10.793766171526293</c:v>
                </c:pt>
                <c:pt idx="203">
                  <c:v>10.601218523899638</c:v>
                </c:pt>
                <c:pt idx="204">
                  <c:v>10.408407118915946</c:v>
                </c:pt>
                <c:pt idx="205">
                  <c:v>10.21534588183545</c:v>
                </c:pt>
                <c:pt idx="206">
                  <c:v>10.022048317474786</c:v>
                </c:pt>
                <c:pt idx="207">
                  <c:v>9.8285275295828143</c:v>
                </c:pt>
                <c:pt idx="208">
                  <c:v>9.634796240089841</c:v>
                </c:pt>
                <c:pt idx="209">
                  <c:v>9.4408668082134337</c:v>
                </c:pt>
                <c:pt idx="210">
                  <c:v>9.2467512494088933</c:v>
                </c:pt>
                <c:pt idx="211">
                  <c:v>9.0524612541539238</c:v>
                </c:pt>
                <c:pt idx="212">
                  <c:v>8.858008206561955</c:v>
                </c:pt>
                <c:pt idx="213">
                  <c:v>8.6634032028198646</c:v>
                </c:pt>
                <c:pt idx="214">
                  <c:v>8.4686570694494954</c:v>
                </c:pt>
                <c:pt idx="215">
                  <c:v>8.2737803813932516</c:v>
                </c:pt>
                <c:pt idx="216">
                  <c:v>8.078783479928088</c:v>
                </c:pt>
                <c:pt idx="217">
                  <c:v>7.883676490412407</c:v>
                </c:pt>
                <c:pt idx="218">
                  <c:v>7.6884693398731887</c:v>
                </c:pt>
                <c:pt idx="219">
                  <c:v>7.4931717744418975</c:v>
                </c:pt>
                <c:pt idx="220">
                  <c:v>7.2977933766496754</c:v>
                </c:pt>
                <c:pt idx="221">
                  <c:v>7.1023435825919172</c:v>
                </c:pt>
                <c:pt idx="222">
                  <c:v>6.9068316989767524</c:v>
                </c:pt>
                <c:pt idx="223">
                  <c:v>6.7112669200696082</c:v>
                </c:pt>
                <c:pt idx="224">
                  <c:v>6.5156583445488341</c:v>
                </c:pt>
                <c:pt idx="225">
                  <c:v>6.3200149922881552</c:v>
                </c:pt>
                <c:pt idx="226">
                  <c:v>6.1243458210811905</c:v>
                </c:pt>
                <c:pt idx="227">
                  <c:v>5.9286597433267429</c:v>
                </c:pt>
                <c:pt idx="228">
                  <c:v>5.7329656426900026</c:v>
                </c:pt>
                <c:pt idx="229">
                  <c:v>5.5372723907583454</c:v>
                </c:pt>
                <c:pt idx="230">
                  <c:v>5.3415888637109097</c:v>
                </c:pt>
                <c:pt idx="231">
                  <c:v>5.1459239590183117</c:v>
                </c:pt>
                <c:pt idx="232">
                  <c:v>4.9502866121937315</c:v>
                </c:pt>
                <c:pt idx="233">
                  <c:v>4.7546858136117498</c:v>
                </c:pt>
                <c:pt idx="234">
                  <c:v>4.5591306254153787</c:v>
                </c:pt>
                <c:pt idx="235">
                  <c:v>4.3636301985294885</c:v>
                </c:pt>
                <c:pt idx="236">
                  <c:v>4.1681937898002355</c:v>
                </c:pt>
                <c:pt idx="237">
                  <c:v>3.9728307792770527</c:v>
                </c:pt>
                <c:pt idx="238">
                  <c:v>3.7775506876581604</c:v>
                </c:pt>
                <c:pt idx="239">
                  <c:v>3.5823631939155538</c:v>
                </c:pt>
                <c:pt idx="240">
                  <c:v>3.3872781531175007</c:v>
                </c:pt>
                <c:pt idx="241">
                  <c:v>3.1923056144656337</c:v>
                </c:pt>
                <c:pt idx="242">
                  <c:v>2.9974558395627717</c:v>
                </c:pt>
                <c:pt idx="243">
                  <c:v>2.8027393209277967</c:v>
                </c:pt>
                <c:pt idx="244">
                  <c:v>2.608166800770193</c:v>
                </c:pt>
                <c:pt idx="245">
                  <c:v>2.4137492900394339</c:v>
                </c:pt>
                <c:pt idx="246">
                  <c:v>2.2194980877623829</c:v>
                </c:pt>
                <c:pt idx="247">
                  <c:v>2.0254248006769706</c:v>
                </c:pt>
                <c:pt idx="248">
                  <c:v>1.8315413631756561</c:v>
                </c:pt>
                <c:pt idx="249">
                  <c:v>1.6378600575630813</c:v>
                </c:pt>
                <c:pt idx="250">
                  <c:v>1.4443935346370664</c:v>
                </c:pt>
                <c:pt idx="251">
                  <c:v>1.2511548345955017</c:v>
                </c:pt>
                <c:pt idx="252">
                  <c:v>1.0581574082719656</c:v>
                </c:pt>
                <c:pt idx="253">
                  <c:v>0.8654151386994442</c:v>
                </c:pt>
                <c:pt idx="254">
                  <c:v>0.67294236299916876</c:v>
                </c:pt>
                <c:pt idx="255">
                  <c:v>0.48075389458881257</c:v>
                </c:pt>
                <c:pt idx="256">
                  <c:v>0.28886504570075217</c:v>
                </c:pt>
                <c:pt idx="257">
                  <c:v>9.7291650197401727E-2</c:v>
                </c:pt>
                <c:pt idx="258">
                  <c:v>-9.3949913331319149E-2</c:v>
                </c:pt>
                <c:pt idx="259">
                  <c:v>-0.28484269821124725</c:v>
                </c:pt>
                <c:pt idx="260">
                  <c:v>-0.47536916609002344</c:v>
                </c:pt>
                <c:pt idx="261">
                  <c:v>-0.66551116313773317</c:v>
                </c:pt>
                <c:pt idx="262">
                  <c:v>-0.85524989607588142</c:v>
                </c:pt>
                <c:pt idx="263">
                  <c:v>-1.0445659080752918</c:v>
                </c:pt>
                <c:pt idx="264">
                  <c:v>-1.2334390545679723</c:v>
                </c:pt>
                <c:pt idx="265">
                  <c:v>-1.4218484790272632</c:v>
                </c:pt>
                <c:pt idx="266">
                  <c:v>-1.609772588773406</c:v>
                </c:pt>
                <c:pt idx="267">
                  <c:v>-1.7971890308711687</c:v>
                </c:pt>
                <c:pt idx="268">
                  <c:v>-1.9840746681931911</c:v>
                </c:pt>
                <c:pt idx="269">
                  <c:v>-2.1704055557305661</c:v>
                </c:pt>
                <c:pt idx="270">
                  <c:v>-2.3561569172387617</c:v>
                </c:pt>
                <c:pt idx="271">
                  <c:v>-2.5413031223194316</c:v>
                </c:pt>
                <c:pt idx="272">
                  <c:v>-2.7258176640421801</c:v>
                </c:pt>
                <c:pt idx="273">
                  <c:v>-2.9096731372251465</c:v>
                </c:pt>
                <c:pt idx="274">
                  <c:v>-3.0928412174986413</c:v>
                </c:pt>
                <c:pt idx="275">
                  <c:v>-3.2752926412877255</c:v>
                </c:pt>
                <c:pt idx="276">
                  <c:v>-3.4569971868598834</c:v>
                </c:pt>
                <c:pt idx="277">
                  <c:v>-3.6379236565919699</c:v>
                </c:pt>
                <c:pt idx="278">
                  <c:v>-3.8180398606237387</c:v>
                </c:pt>
                <c:pt idx="279">
                  <c:v>-3.9973126020726824</c:v>
                </c:pt>
                <c:pt idx="280">
                  <c:v>-4.1757076639956097</c:v>
                </c:pt>
                <c:pt idx="281">
                  <c:v>-4.3531897982935197</c:v>
                </c:pt>
                <c:pt idx="282">
                  <c:v>-4.5297227167632093</c:v>
                </c:pt>
                <c:pt idx="283">
                  <c:v>-4.7052690845095153</c:v>
                </c:pt>
                <c:pt idx="284">
                  <c:v>-4.8797905159400754</c:v>
                </c:pt>
                <c:pt idx="285">
                  <c:v>-5.0532475735708315</c:v>
                </c:pt>
                <c:pt idx="286">
                  <c:v>-5.2255997698780101</c:v>
                </c:pt>
                <c:pt idx="287">
                  <c:v>-5.3968055724366835</c:v>
                </c:pt>
                <c:pt idx="288">
                  <c:v>-5.5668224125898069</c:v>
                </c:pt>
                <c:pt idx="289">
                  <c:v>-5.7356066978942515</c:v>
                </c:pt>
                <c:pt idx="290">
                  <c:v>-5.9031138285904259</c:v>
                </c:pt>
                <c:pt idx="291">
                  <c:v>-6.0692982183403323</c:v>
                </c:pt>
                <c:pt idx="292">
                  <c:v>-6.2341133194755702</c:v>
                </c:pt>
                <c:pt idx="293">
                  <c:v>-6.3975116529900111</c:v>
                </c:pt>
                <c:pt idx="294">
                  <c:v>-6.5594448435040125</c:v>
                </c:pt>
                <c:pt idx="295">
                  <c:v>-6.7198636594143792</c:v>
                </c:pt>
                <c:pt idx="296">
                  <c:v>-6.8787180584306249</c:v>
                </c:pt>
                <c:pt idx="297">
                  <c:v>-7.0359572386805098</c:v>
                </c:pt>
                <c:pt idx="298">
                  <c:v>-7.1915296955465831</c:v>
                </c:pt>
                <c:pt idx="299">
                  <c:v>-7.3453832843729483</c:v>
                </c:pt>
                <c:pt idx="300">
                  <c:v>-7.4974652891520819</c:v>
                </c:pt>
                <c:pt idx="301">
                  <c:v>-7.6477224972742839</c:v>
                </c:pt>
                <c:pt idx="302">
                  <c:v>-7.7961012803863046</c:v>
                </c:pt>
                <c:pt idx="303">
                  <c:v>-7.9425476813708871</c:v>
                </c:pt>
                <c:pt idx="304">
                  <c:v>-8.087007507420223</c:v>
                </c:pt>
                <c:pt idx="305">
                  <c:v>-8.2294264291332073</c:v>
                </c:pt>
                <c:pt idx="306">
                  <c:v>-8.3697500855247</c:v>
                </c:pt>
                <c:pt idx="307">
                  <c:v>-8.5079241947891049</c:v>
                </c:pt>
                <c:pt idx="308">
                  <c:v>-8.6438946706142037</c:v>
                </c:pt>
                <c:pt idx="309">
                  <c:v>-8.7776077437946149</c:v>
                </c:pt>
                <c:pt idx="310">
                  <c:v>-8.9090100888462178</c:v>
                </c:pt>
                <c:pt idx="311">
                  <c:v>-9.0380489552796242</c:v>
                </c:pt>
                <c:pt idx="312">
                  <c:v>-9.1646723031412556</c:v>
                </c:pt>
                <c:pt idx="313">
                  <c:v>-9.2888289423930637</c:v>
                </c:pt>
                <c:pt idx="314">
                  <c:v>-9.4104686756570572</c:v>
                </c:pt>
                <c:pt idx="315">
                  <c:v>-9.5295424438183876</c:v>
                </c:pt>
                <c:pt idx="316">
                  <c:v>-9.6460024739454244</c:v>
                </c:pt>
                <c:pt idx="317">
                  <c:v>-9.7598024289593965</c:v>
                </c:pt>
                <c:pt idx="318">
                  <c:v>-9.87089755846314</c:v>
                </c:pt>
                <c:pt idx="319">
                  <c:v>-9.9792448501232194</c:v>
                </c:pt>
                <c:pt idx="320">
                  <c:v>-10.084803180987452</c:v>
                </c:pt>
                <c:pt idx="321">
                  <c:v>-10.187533468117664</c:v>
                </c:pt>
                <c:pt idx="322">
                  <c:v>-10.287398817919808</c:v>
                </c:pt>
                <c:pt idx="323">
                  <c:v>-10.38436467356113</c:v>
                </c:pt>
                <c:pt idx="324">
                  <c:v>-10.478398959880355</c:v>
                </c:pt>
                <c:pt idx="325">
                  <c:v>-10.569472225216527</c:v>
                </c:pt>
                <c:pt idx="326">
                  <c:v>-10.657557779608144</c:v>
                </c:pt>
                <c:pt idx="327">
                  <c:v>-10.74263182884458</c:v>
                </c:pt>
                <c:pt idx="328">
                  <c:v>-10.82467360388419</c:v>
                </c:pt>
                <c:pt idx="329">
                  <c:v>-10.903665485191326</c:v>
                </c:pt>
                <c:pt idx="330">
                  <c:v>-10.979593121580676</c:v>
                </c:pt>
                <c:pt idx="331">
                  <c:v>-11.052445543196798</c:v>
                </c:pt>
                <c:pt idx="332">
                  <c:v>-11.122215268292084</c:v>
                </c:pt>
                <c:pt idx="333">
                  <c:v>-11.188898403505799</c:v>
                </c:pt>
                <c:pt idx="334">
                  <c:v>-11.25249473737502</c:v>
                </c:pt>
                <c:pt idx="335">
                  <c:v>-11.313007826840655</c:v>
                </c:pt>
                <c:pt idx="336">
                  <c:v>-11.37044507653478</c:v>
                </c:pt>
                <c:pt idx="337">
                  <c:v>-11.42481781065522</c:v>
                </c:pt>
                <c:pt idx="338">
                  <c:v>-11.476141337245075</c:v>
                </c:pt>
                <c:pt idx="339">
                  <c:v>-11.524435004703131</c:v>
                </c:pt>
                <c:pt idx="340">
                  <c:v>-11.569722250351731</c:v>
                </c:pt>
                <c:pt idx="341">
                  <c:v>-11.612030640883631</c:v>
                </c:pt>
                <c:pt idx="342">
                  <c:v>-11.651391904497594</c:v>
                </c:pt>
                <c:pt idx="343">
                  <c:v>-11.687841954517697</c:v>
                </c:pt>
                <c:pt idx="344">
                  <c:v>-11.721420904271655</c:v>
                </c:pt>
                <c:pt idx="345">
                  <c:v>-11.752173072979808</c:v>
                </c:pt>
                <c:pt idx="346">
                  <c:v>-11.780146982381156</c:v>
                </c:pt>
                <c:pt idx="347">
                  <c:v>-11.805395343799594</c:v>
                </c:pt>
                <c:pt idx="348">
                  <c:v>-11.827975035327071</c:v>
                </c:pt>
                <c:pt idx="349">
                  <c:v>-11.847947068779082</c:v>
                </c:pt>
                <c:pt idx="350">
                  <c:v>-11.865376546059743</c:v>
                </c:pt>
                <c:pt idx="351">
                  <c:v>-11.880332604561744</c:v>
                </c:pt>
                <c:pt idx="352">
                  <c:v>-11.892888351219071</c:v>
                </c:pt>
                <c:pt idx="353">
                  <c:v>-11.903120784832106</c:v>
                </c:pt>
                <c:pt idx="354">
                  <c:v>-11.911110706297588</c:v>
                </c:pt>
                <c:pt idx="355">
                  <c:v>-11.916942616393003</c:v>
                </c:pt>
                <c:pt idx="356">
                  <c:v>-11.920704600798961</c:v>
                </c:pt>
                <c:pt idx="357">
                  <c:v>-11.92248820208369</c:v>
                </c:pt>
                <c:pt idx="358">
                  <c:v>-11.922388278425903</c:v>
                </c:pt>
                <c:pt idx="359">
                  <c:v>-11.920502848918492</c:v>
                </c:pt>
                <c:pt idx="360">
                  <c:v>-11.916932925366803</c:v>
                </c:pt>
                <c:pt idx="361">
                  <c:v>-11.911782330582664</c:v>
                </c:pt>
                <c:pt idx="362">
                  <c:v>-11.905157503266459</c:v>
                </c:pt>
                <c:pt idx="363">
                  <c:v>-11.897167289673865</c:v>
                </c:pt>
                <c:pt idx="364">
                  <c:v>-11.887922722370231</c:v>
                </c:pt>
                <c:pt idx="365">
                  <c:v>-11.877536786491516</c:v>
                </c:pt>
                <c:pt idx="366">
                  <c:v>-11.866124174050572</c:v>
                </c:pt>
                <c:pt idx="367">
                  <c:v>-11.853801026944982</c:v>
                </c:pt>
                <c:pt idx="368">
                  <c:v>-11.840684669450539</c:v>
                </c:pt>
                <c:pt idx="369">
                  <c:v>-11.826893331101695</c:v>
                </c:pt>
                <c:pt idx="370">
                  <c:v>-11.812545860982926</c:v>
                </c:pt>
                <c:pt idx="371">
                  <c:v>-11.797761434568931</c:v>
                </c:pt>
                <c:pt idx="372">
                  <c:v>-11.782659254364278</c:v>
                </c:pt>
                <c:pt idx="373">
                  <c:v>-11.767358245694272</c:v>
                </c:pt>
                <c:pt idx="374">
                  <c:v>-11.751976749096258</c:v>
                </c:pt>
                <c:pt idx="375">
                  <c:v>-11.736632210845189</c:v>
                </c:pt>
                <c:pt idx="376">
                  <c:v>-11.721440873223269</c:v>
                </c:pt>
                <c:pt idx="377">
                  <c:v>-11.706517466205025</c:v>
                </c:pt>
                <c:pt idx="378">
                  <c:v>-11.69197490228165</c:v>
                </c:pt>
                <c:pt idx="379">
                  <c:v>-11.67792397618333</c:v>
                </c:pt>
                <c:pt idx="380">
                  <c:v>-11.664473071280819</c:v>
                </c:pt>
                <c:pt idx="381">
                  <c:v>-11.65172787445594</c:v>
                </c:pt>
                <c:pt idx="382">
                  <c:v>-11.639791101220505</c:v>
                </c:pt>
                <c:pt idx="383">
                  <c:v>-11.628762232841755</c:v>
                </c:pt>
                <c:pt idx="384">
                  <c:v>-11.618737267190735</c:v>
                </c:pt>
                <c:pt idx="385">
                  <c:v>-11.609808484975645</c:v>
                </c:pt>
                <c:pt idx="386">
                  <c:v>-11.602064232950664</c:v>
                </c:pt>
                <c:pt idx="387">
                  <c:v>-11.595588725604312</c:v>
                </c:pt>
                <c:pt idx="388">
                  <c:v>-11.590461866728795</c:v>
                </c:pt>
                <c:pt idx="389">
                  <c:v>-11.58675909215768</c:v>
                </c:pt>
                <c:pt idx="390">
                  <c:v>-11.584551234825408</c:v>
                </c:pt>
                <c:pt idx="391">
                  <c:v>-11.583904413164658</c:v>
                </c:pt>
                <c:pt idx="392">
                  <c:v>-11.584879943697075</c:v>
                </c:pt>
                <c:pt idx="393">
                  <c:v>-11.587534278510125</c:v>
                </c:pt>
                <c:pt idx="394">
                  <c:v>-11.591918968138721</c:v>
                </c:pt>
                <c:pt idx="395">
                  <c:v>-11.598080650182084</c:v>
                </c:pt>
                <c:pt idx="396">
                  <c:v>-11.606061063800762</c:v>
                </c:pt>
                <c:pt idx="397">
                  <c:v>-11.615897090040662</c:v>
                </c:pt>
                <c:pt idx="398">
                  <c:v>-11.627620817732856</c:v>
                </c:pt>
                <c:pt idx="399">
                  <c:v>-11.641259634516967</c:v>
                </c:pt>
                <c:pt idx="400">
                  <c:v>-11.656836342336785</c:v>
                </c:pt>
                <c:pt idx="401">
                  <c:v>-11.674369296558369</c:v>
                </c:pt>
                <c:pt idx="402">
                  <c:v>-11.693872567666627</c:v>
                </c:pt>
                <c:pt idx="403">
                  <c:v>-11.71535612431077</c:v>
                </c:pt>
                <c:pt idx="404">
                  <c:v>-11.738826036288025</c:v>
                </c:pt>
                <c:pt idx="405">
                  <c:v>-11.764284695887671</c:v>
                </c:pt>
                <c:pt idx="406">
                  <c:v>-11.791731055859763</c:v>
                </c:pt>
                <c:pt idx="407">
                  <c:v>-11.821160882132023</c:v>
                </c:pt>
                <c:pt idx="408">
                  <c:v>-11.852567019269761</c:v>
                </c:pt>
                <c:pt idx="409">
                  <c:v>-11.88593966656703</c:v>
                </c:pt>
                <c:pt idx="410">
                  <c:v>-11.9212666625645</c:v>
                </c:pt>
                <c:pt idx="411">
                  <c:v>-11.958533775722103</c:v>
                </c:pt>
                <c:pt idx="412">
                  <c:v>-11.997724998924353</c:v>
                </c:pt>
                <c:pt idx="413">
                  <c:v>-12.038822845470818</c:v>
                </c:pt>
                <c:pt idx="414">
                  <c:v>-12.081808644199533</c:v>
                </c:pt>
                <c:pt idx="415">
                  <c:v>-12.126662831412522</c:v>
                </c:pt>
                <c:pt idx="416">
                  <c:v>-12.173365237311122</c:v>
                </c:pt>
                <c:pt idx="417">
                  <c:v>-12.221895364718339</c:v>
                </c:pt>
                <c:pt idx="418">
                  <c:v>-12.272232657949026</c:v>
                </c:pt>
                <c:pt idx="419">
                  <c:v>-12.324356759797343</c:v>
                </c:pt>
                <c:pt idx="420">
                  <c:v>-12.378247754742059</c:v>
                </c:pt>
                <c:pt idx="421">
                  <c:v>-12.433886396611546</c:v>
                </c:pt>
                <c:pt idx="422">
                  <c:v>-12.491254319119172</c:v>
                </c:pt>
                <c:pt idx="423">
                  <c:v>-12.550334227854691</c:v>
                </c:pt>
                <c:pt idx="424">
                  <c:v>-12.611110072509677</c:v>
                </c:pt>
                <c:pt idx="425">
                  <c:v>-12.673567198315737</c:v>
                </c:pt>
                <c:pt idx="426">
                  <c:v>-12.737692475886579</c:v>
                </c:pt>
                <c:pt idx="427">
                  <c:v>-12.803474408864394</c:v>
                </c:pt>
                <c:pt idx="428">
                  <c:v>-12.870903218997487</c:v>
                </c:pt>
                <c:pt idx="429">
                  <c:v>-12.939970908487837</c:v>
                </c:pt>
                <c:pt idx="430">
                  <c:v>-13.010671299667521</c:v>
                </c:pt>
                <c:pt idx="431">
                  <c:v>-13.083000052276223</c:v>
                </c:pt>
                <c:pt idx="432">
                  <c:v>-13.156954658815463</c:v>
                </c:pt>
                <c:pt idx="433">
                  <c:v>-13.232534418654518</c:v>
                </c:pt>
                <c:pt idx="434">
                  <c:v>-13.309740391748379</c:v>
                </c:pt>
                <c:pt idx="435">
                  <c:v>-13.388575333001192</c:v>
                </c:pt>
                <c:pt idx="436">
                  <c:v>-13.469043608468105</c:v>
                </c:pt>
                <c:pt idx="437">
                  <c:v>-13.5511510947331</c:v>
                </c:pt>
                <c:pt idx="438">
                  <c:v>-13.634905062924108</c:v>
                </c:pt>
                <c:pt idx="439">
                  <c:v>-13.720314048937677</c:v>
                </c:pt>
                <c:pt idx="440">
                  <c:v>-13.807387711533782</c:v>
                </c:pt>
                <c:pt idx="441">
                  <c:v>-13.896136680032638</c:v>
                </c:pt>
                <c:pt idx="442">
                  <c:v>-13.986572393394612</c:v>
                </c:pt>
                <c:pt idx="443">
                  <c:v>-14.078706932498291</c:v>
                </c:pt>
                <c:pt idx="444">
                  <c:v>-14.172552847440995</c:v>
                </c:pt>
                <c:pt idx="445">
                  <c:v>-14.268122981680435</c:v>
                </c:pt>
                <c:pt idx="446">
                  <c:v>-14.365430294807728</c:v>
                </c:pt>
                <c:pt idx="447">
                  <c:v>-14.464487685702142</c:v>
                </c:pt>
                <c:pt idx="448">
                  <c:v>-14.565307817752748</c:v>
                </c:pt>
                <c:pt idx="449">
                  <c:v>-14.667902947758639</c:v>
                </c:pt>
                <c:pt idx="450">
                  <c:v>-14.772284760025084</c:v>
                </c:pt>
                <c:pt idx="451">
                  <c:v>-14.87846420707265</c:v>
                </c:pt>
                <c:pt idx="452">
                  <c:v>-14.986451358255806</c:v>
                </c:pt>
                <c:pt idx="453">
                  <c:v>-15.09625525746312</c:v>
                </c:pt>
                <c:pt idx="454">
                  <c:v>-15.207883790937586</c:v>
                </c:pt>
                <c:pt idx="455">
                  <c:v>-15.321343566113585</c:v>
                </c:pt>
                <c:pt idx="456">
                  <c:v>-15.436639802219645</c:v>
                </c:pt>
                <c:pt idx="457">
                  <c:v>-15.553776233253007</c:v>
                </c:pt>
                <c:pt idx="458">
                  <c:v>-15.672755023776059</c:v>
                </c:pt>
                <c:pt idx="459">
                  <c:v>-15.793576697843186</c:v>
                </c:pt>
                <c:pt idx="460">
                  <c:v>-15.916240081216586</c:v>
                </c:pt>
                <c:pt idx="461">
                  <c:v>-16.040742256891161</c:v>
                </c:pt>
                <c:pt idx="462">
                  <c:v>-16.167078533815019</c:v>
                </c:pt>
                <c:pt idx="463">
                  <c:v>-16.295242428562553</c:v>
                </c:pt>
                <c:pt idx="464">
                  <c:v>-16.425225659601924</c:v>
                </c:pt>
                <c:pt idx="465">
                  <c:v>-16.557018153689938</c:v>
                </c:pt>
                <c:pt idx="466">
                  <c:v>-16.690608063830421</c:v>
                </c:pt>
                <c:pt idx="467">
                  <c:v>-16.825981798147286</c:v>
                </c:pt>
                <c:pt idx="468">
                  <c:v>-16.963124058951564</c:v>
                </c:pt>
                <c:pt idx="469">
                  <c:v>-17.10201789121988</c:v>
                </c:pt>
                <c:pt idx="470">
                  <c:v>-17.242644739655432</c:v>
                </c:pt>
                <c:pt idx="471">
                  <c:v>-17.384984513467508</c:v>
                </c:pt>
                <c:pt idx="472">
                  <c:v>-17.529015657980956</c:v>
                </c:pt>
                <c:pt idx="473">
                  <c:v>-17.674715232178105</c:v>
                </c:pt>
                <c:pt idx="474">
                  <c:v>-17.822058991272741</c:v>
                </c:pt>
                <c:pt idx="475">
                  <c:v>-17.971021473429275</c:v>
                </c:pt>
                <c:pt idx="476">
                  <c:v>-18.121576089754534</c:v>
                </c:pt>
                <c:pt idx="477">
                  <c:v>-18.273695216723333</c:v>
                </c:pt>
                <c:pt idx="478">
                  <c:v>-18.427350290229676</c:v>
                </c:pt>
                <c:pt idx="479">
                  <c:v>-18.582511900498332</c:v>
                </c:pt>
                <c:pt idx="480">
                  <c:v>-18.739149887140076</c:v>
                </c:pt>
                <c:pt idx="481">
                  <c:v>-18.897233433681315</c:v>
                </c:pt>
                <c:pt idx="482">
                  <c:v>-19.056731160957014</c:v>
                </c:pt>
                <c:pt idx="483">
                  <c:v>-19.217611218808226</c:v>
                </c:pt>
                <c:pt idx="484">
                  <c:v>-19.379841375586238</c:v>
                </c:pt>
                <c:pt idx="485">
                  <c:v>-19.543389105021202</c:v>
                </c:pt>
                <c:pt idx="486">
                  <c:v>-19.708221670070746</c:v>
                </c:pt>
                <c:pt idx="487">
                  <c:v>-19.874306203422066</c:v>
                </c:pt>
                <c:pt idx="488">
                  <c:v>-20.041609784372522</c:v>
                </c:pt>
                <c:pt idx="489">
                  <c:v>-20.210099511869537</c:v>
                </c:pt>
                <c:pt idx="490">
                  <c:v>-20.379742573537129</c:v>
                </c:pt>
                <c:pt idx="491">
                  <c:v>-20.550506310565812</c:v>
                </c:pt>
                <c:pt idx="492">
                  <c:v>-20.722358278382991</c:v>
                </c:pt>
                <c:pt idx="493">
                  <c:v>-20.895266303064112</c:v>
                </c:pt>
                <c:pt idx="494">
                  <c:v>-21.069198533478687</c:v>
                </c:pt>
                <c:pt idx="495">
                  <c:v>-21.244123489199175</c:v>
                </c:pt>
                <c:pt idx="496">
                  <c:v>-21.42001010422938</c:v>
                </c:pt>
                <c:pt idx="497">
                  <c:v>-21.596827766635659</c:v>
                </c:pt>
                <c:pt idx="498">
                  <c:v>-21.774546354185304</c:v>
                </c:pt>
                <c:pt idx="499">
                  <c:v>-21.953136266115404</c:v>
                </c:pt>
                <c:pt idx="500">
                  <c:v>-22.13256845117288</c:v>
                </c:pt>
                <c:pt idx="501">
                  <c:v>-22.312814432076888</c:v>
                </c:pt>
                <c:pt idx="502">
                  <c:v>-22.49384632656675</c:v>
                </c:pt>
                <c:pt idx="503">
                  <c:v>-22.67563686520678</c:v>
                </c:pt>
                <c:pt idx="504">
                  <c:v>-22.858159406120834</c:v>
                </c:pt>
                <c:pt idx="505">
                  <c:v>-23.041387946838636</c:v>
                </c:pt>
                <c:pt idx="506">
                  <c:v>-23.225297133432132</c:v>
                </c:pt>
                <c:pt idx="507">
                  <c:v>-23.409862267122293</c:v>
                </c:pt>
                <c:pt idx="508">
                  <c:v>-23.595059308535731</c:v>
                </c:pt>
                <c:pt idx="509">
                  <c:v>-23.780864879785305</c:v>
                </c:pt>
                <c:pt idx="510">
                  <c:v>-23.967256264547238</c:v>
                </c:pt>
                <c:pt idx="511">
                  <c:v>-24.154211406301073</c:v>
                </c:pt>
                <c:pt idx="512">
                  <c:v>-24.341708904892808</c:v>
                </c:pt>
                <c:pt idx="513">
                  <c:v>-24.529728011577387</c:v>
                </c:pt>
                <c:pt idx="514">
                  <c:v>-24.718248622687803</c:v>
                </c:pt>
                <c:pt idx="515">
                  <c:v>-24.907251272071868</c:v>
                </c:pt>
                <c:pt idx="516">
                  <c:v>-25.096717122431187</c:v>
                </c:pt>
                <c:pt idx="517">
                  <c:v>-25.286627955688836</c:v>
                </c:pt>
                <c:pt idx="518">
                  <c:v>-25.476966162504212</c:v>
                </c:pt>
                <c:pt idx="519">
                  <c:v>-25.667714731047859</c:v>
                </c:pt>
                <c:pt idx="520">
                  <c:v>-25.858857235140121</c:v>
                </c:pt>
                <c:pt idx="521">
                  <c:v>-26.050377821850908</c:v>
                </c:pt>
                <c:pt idx="522">
                  <c:v>-26.242261198650997</c:v>
                </c:pt>
                <c:pt idx="523">
                  <c:v>-26.434492620198085</c:v>
                </c:pt>
                <c:pt idx="524">
                  <c:v>-26.62705787483517</c:v>
                </c:pt>
                <c:pt idx="525">
                  <c:v>-26.81994327087104</c:v>
                </c:pt>
                <c:pt idx="526">
                  <c:v>-27.013135622707441</c:v>
                </c:pt>
                <c:pt idx="527">
                  <c:v>-27.206622236872562</c:v>
                </c:pt>
                <c:pt idx="528">
                  <c:v>-27.400390898013608</c:v>
                </c:pt>
                <c:pt idx="529">
                  <c:v>-27.594429854897076</c:v>
                </c:pt>
                <c:pt idx="530">
                  <c:v>-27.788727806458958</c:v>
                </c:pt>
                <c:pt idx="531">
                  <c:v>-27.983273887946922</c:v>
                </c:pt>
                <c:pt idx="532">
                  <c:v>-28.178057657183757</c:v>
                </c:pt>
                <c:pt idx="533">
                  <c:v>-28.373069080989275</c:v>
                </c:pt>
                <c:pt idx="534">
                  <c:v>-28.568298521781962</c:v>
                </c:pt>
                <c:pt idx="535">
                  <c:v>-28.763736724387662</c:v>
                </c:pt>
                <c:pt idx="536">
                  <c:v>-28.959374803073594</c:v>
                </c:pt>
                <c:pt idx="537">
                  <c:v>-29.155204228826719</c:v>
                </c:pt>
                <c:pt idx="538">
                  <c:v>-29.351216816890201</c:v>
                </c:pt>
                <c:pt idx="539">
                  <c:v>-29.547404714570678</c:v>
                </c:pt>
                <c:pt idx="540">
                  <c:v>-29.743760389327122</c:v>
                </c:pt>
                <c:pt idx="541">
                  <c:v>-29.940276617148616</c:v>
                </c:pt>
              </c:numCache>
            </c:numRef>
          </c:yVal>
          <c:smooth val="1"/>
          <c:extLst>
            <c:ext xmlns:c16="http://schemas.microsoft.com/office/drawing/2014/chart" uri="{C3380CC4-5D6E-409C-BE32-E72D297353CC}">
              <c16:uniqueId val="{00000000-C0DB-44D3-93C3-2FD2B4FE1384}"/>
            </c:ext>
          </c:extLst>
        </c:ser>
        <c:dLbls>
          <c:showLegendKey val="0"/>
          <c:showVal val="0"/>
          <c:showCatName val="0"/>
          <c:showSerName val="0"/>
          <c:showPercent val="0"/>
          <c:showBubbleSize val="0"/>
        </c:dLbls>
        <c:axId val="555231872"/>
        <c:axId val="555234048"/>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Loop_Modeling!$AH$19:$AH$560</c:f>
              <c:numCache>
                <c:formatCode>General</c:formatCode>
                <c:ptCount val="542"/>
                <c:pt idx="0">
                  <c:v>-2.9103250324310141</c:v>
                </c:pt>
                <c:pt idx="1">
                  <c:v>-2.977997692889633</c:v>
                </c:pt>
                <c:pt idx="2">
                  <c:v>-3.0472382657610182</c:v>
                </c:pt>
                <c:pt idx="3">
                  <c:v>-3.1180826748788677</c:v>
                </c:pt>
                <c:pt idx="4">
                  <c:v>-3.1905676383881412</c:v>
                </c:pt>
                <c:pt idx="5">
                  <c:v>-3.2647306842434087</c:v>
                </c:pt>
                <c:pt idx="6">
                  <c:v>-3.3406101658571763</c:v>
                </c:pt>
                <c:pt idx="7">
                  <c:v>-3.4182452778871908</c:v>
                </c:pt>
                <c:pt idx="8">
                  <c:v>-3.497676072151136</c:v>
                </c:pt>
                <c:pt idx="9">
                  <c:v>-3.5789434736535579</c:v>
                </c:pt>
                <c:pt idx="10">
                  <c:v>-3.6620892967113372</c:v>
                </c:pt>
                <c:pt idx="11">
                  <c:v>-3.7471562611604612</c:v>
                </c:pt>
                <c:pt idx="12">
                  <c:v>-3.8341880086257376</c:v>
                </c:pt>
                <c:pt idx="13">
                  <c:v>-3.923229118833357</c:v>
                </c:pt>
                <c:pt idx="14">
                  <c:v>-4.0143251259447208</c:v>
                </c:pt>
                <c:pt idx="15">
                  <c:v>-4.1075225348872673</c:v>
                </c:pt>
                <c:pt idx="16">
                  <c:v>-4.2028688376560712</c:v>
                </c:pt>
                <c:pt idx="17">
                  <c:v>-4.3004125295579749</c:v>
                </c:pt>
                <c:pt idx="18">
                  <c:v>-4.4002031253671818</c:v>
                </c:pt>
                <c:pt idx="19">
                  <c:v>-4.5022911753588115</c:v>
                </c:pt>
                <c:pt idx="20">
                  <c:v>-4.6067282811840071</c:v>
                </c:pt>
                <c:pt idx="21">
                  <c:v>-4.7135671115472668</c:v>
                </c:pt>
                <c:pt idx="22">
                  <c:v>-4.8228614176431899</c:v>
                </c:pt>
                <c:pt idx="23">
                  <c:v>-4.9346660483071672</c:v>
                </c:pt>
                <c:pt idx="24">
                  <c:v>-5.0490369648299742</c:v>
                </c:pt>
                <c:pt idx="25">
                  <c:v>-5.1660312553830332</c:v>
                </c:pt>
                <c:pt idx="26">
                  <c:v>-5.2857071489969716</c:v>
                </c:pt>
                <c:pt idx="27">
                  <c:v>-5.4081240290316046</c:v>
                </c:pt>
                <c:pt idx="28">
                  <c:v>-5.5333424460708329</c:v>
                </c:pt>
                <c:pt idx="29">
                  <c:v>-5.6614241301715982</c:v>
                </c:pt>
                <c:pt idx="30">
                  <c:v>-5.7924320023903819</c:v>
                </c:pt>
                <c:pt idx="31">
                  <c:v>-5.9264301855051338</c:v>
                </c:pt>
                <c:pt idx="32">
                  <c:v>-6.0634840138462236</c:v>
                </c:pt>
                <c:pt idx="33">
                  <c:v>-6.2036600421414025</c:v>
                </c:pt>
                <c:pt idx="34">
                  <c:v>-6.3470260532770322</c:v>
                </c:pt>
                <c:pt idx="35">
                  <c:v>-6.4936510648667554</c:v>
                </c:pt>
                <c:pt idx="36">
                  <c:v>-6.6436053345158488</c:v>
                </c:pt>
                <c:pt idx="37">
                  <c:v>-6.7969603636603173</c:v>
                </c:pt>
                <c:pt idx="38">
                  <c:v>-6.9537888998509532</c:v>
                </c:pt>
                <c:pt idx="39">
                  <c:v>-7.1141649373471356</c:v>
                </c:pt>
                <c:pt idx="40">
                  <c:v>-7.2781637158748245</c:v>
                </c:pt>
                <c:pt idx="41">
                  <c:v>-7.4458617173955428</c:v>
                </c:pt>
                <c:pt idx="42">
                  <c:v>-7.6173366607221151</c:v>
                </c:pt>
                <c:pt idx="43">
                  <c:v>-7.7926674938108356</c:v>
                </c:pt>
                <c:pt idx="44">
                  <c:v>-7.9719343835468788</c:v>
                </c:pt>
                <c:pt idx="45">
                  <c:v>-8.1552187028308296</c:v>
                </c:pt>
                <c:pt idx="46">
                  <c:v>-8.3426030147641814</c:v>
                </c:pt>
                <c:pt idx="47">
                  <c:v>-8.5341710537204847</c:v>
                </c:pt>
                <c:pt idx="48">
                  <c:v>-8.7300077030779519</c:v>
                </c:pt>
                <c:pt idx="49">
                  <c:v>-8.9301989693780932</c:v>
                </c:pt>
                <c:pt idx="50">
                  <c:v>-9.1348319526640722</c:v>
                </c:pt>
                <c:pt idx="51">
                  <c:v>-9.3439948127409469</c:v>
                </c:pt>
                <c:pt idx="52">
                  <c:v>-9.5577767310870279</c:v>
                </c:pt>
                <c:pt idx="53">
                  <c:v>-9.7762678681379942</c:v>
                </c:pt>
                <c:pt idx="54">
                  <c:v>-9.9995593156478986</c:v>
                </c:pt>
                <c:pt idx="55">
                  <c:v>-10.227743043826324</c:v>
                </c:pt>
                <c:pt idx="56">
                  <c:v>-10.460911842936232</c:v>
                </c:pt>
                <c:pt idx="57">
                  <c:v>-10.699159259026461</c:v>
                </c:pt>
                <c:pt idx="58">
                  <c:v>-10.942579523465666</c:v>
                </c:pt>
                <c:pt idx="59">
                  <c:v>-11.191267475931816</c:v>
                </c:pt>
                <c:pt idx="60">
                  <c:v>-11.445318480505104</c:v>
                </c:pt>
                <c:pt idx="61">
                  <c:v>-11.704828334504416</c:v>
                </c:pt>
                <c:pt idx="62">
                  <c:v>-11.969893169699768</c:v>
                </c:pt>
                <c:pt idx="63">
                  <c:v>-12.240609345531004</c:v>
                </c:pt>
                <c:pt idx="64">
                  <c:v>-12.517073333958104</c:v>
                </c:pt>
                <c:pt idx="65">
                  <c:v>-12.799381595567111</c:v>
                </c:pt>
                <c:pt idx="66">
                  <c:v>-13.08763044655883</c:v>
                </c:pt>
                <c:pt idx="67">
                  <c:v>-13.381915916250279</c:v>
                </c:pt>
                <c:pt idx="68">
                  <c:v>-13.682333594723616</c:v>
                </c:pt>
                <c:pt idx="69">
                  <c:v>-13.988978470271288</c:v>
                </c:pt>
                <c:pt idx="70">
                  <c:v>-14.301944756295256</c:v>
                </c:pt>
                <c:pt idx="71">
                  <c:v>-14.621325707338753</c:v>
                </c:pt>
                <c:pt idx="72">
                  <c:v>-14.947213423949908</c:v>
                </c:pt>
                <c:pt idx="73">
                  <c:v>-15.279698646102769</c:v>
                </c:pt>
                <c:pt idx="74">
                  <c:v>-15.618870534934082</c:v>
                </c:pt>
                <c:pt idx="75">
                  <c:v>-15.964816442591328</c:v>
                </c:pt>
                <c:pt idx="76">
                  <c:v>-16.317621670032249</c:v>
                </c:pt>
                <c:pt idx="77">
                  <c:v>-16.677369212664217</c:v>
                </c:pt>
                <c:pt idx="78">
                  <c:v>-17.044139493771997</c:v>
                </c:pt>
                <c:pt idx="79">
                  <c:v>-17.418010085745287</c:v>
                </c:pt>
                <c:pt idx="80">
                  <c:v>-17.799055419190317</c:v>
                </c:pt>
                <c:pt idx="81">
                  <c:v>-18.187346480088376</c:v>
                </c:pt>
                <c:pt idx="82">
                  <c:v>-18.582950495258419</c:v>
                </c:pt>
                <c:pt idx="83">
                  <c:v>-18.985930606470365</c:v>
                </c:pt>
                <c:pt idx="84">
                  <c:v>-19.396345533667276</c:v>
                </c:pt>
                <c:pt idx="85">
                  <c:v>-19.814249227866863</c:v>
                </c:pt>
                <c:pt idx="86">
                  <c:v>-20.239690514437218</c:v>
                </c:pt>
                <c:pt idx="87">
                  <c:v>-20.672712727569007</c:v>
                </c:pt>
                <c:pt idx="88">
                  <c:v>-21.113353336911544</c:v>
                </c:pt>
                <c:pt idx="89">
                  <c:v>-21.561643567481358</c:v>
                </c:pt>
                <c:pt idx="90">
                  <c:v>-22.017608014107552</c:v>
                </c:pt>
                <c:pt idx="91">
                  <c:v>-22.481264251837747</c:v>
                </c:pt>
                <c:pt idx="92">
                  <c:v>-22.952622443888494</c:v>
                </c:pt>
                <c:pt idx="93">
                  <c:v>-23.431684948895352</c:v>
                </c:pt>
                <c:pt idx="94">
                  <c:v>-23.918445929381345</c:v>
                </c:pt>
                <c:pt idx="95">
                  <c:v>-24.412890963532043</c:v>
                </c:pt>
                <c:pt idx="96">
                  <c:v>-24.914996662531998</c:v>
                </c:pt>
                <c:pt idx="97">
                  <c:v>-25.424730295876451</c:v>
                </c:pt>
                <c:pt idx="98">
                  <c:v>-25.942049427223566</c:v>
                </c:pt>
                <c:pt idx="99">
                  <c:v>-26.466901563498929</c:v>
                </c:pt>
                <c:pt idx="100">
                  <c:v>-26.99922382009121</c:v>
                </c:pt>
                <c:pt idx="101">
                  <c:v>-27.538942605091481</c:v>
                </c:pt>
                <c:pt idx="102">
                  <c:v>-28.085973325624284</c:v>
                </c:pt>
                <c:pt idx="103">
                  <c:v>-28.640220119385329</c:v>
                </c:pt>
                <c:pt idx="104">
                  <c:v>-29.201575614551246</c:v>
                </c:pt>
                <c:pt idx="105">
                  <c:v>-29.769920721236758</c:v>
                </c:pt>
                <c:pt idx="106">
                  <c:v>-30.345124457658926</c:v>
                </c:pt>
                <c:pt idx="107">
                  <c:v>-30.927043814116622</c:v>
                </c:pt>
                <c:pt idx="108">
                  <c:v>-31.515523657799896</c:v>
                </c:pt>
                <c:pt idx="109">
                  <c:v>-32.110396681313851</c:v>
                </c:pt>
                <c:pt idx="110">
                  <c:v>-32.711483397630239</c:v>
                </c:pt>
                <c:pt idx="111">
                  <c:v>-33.318592183957037</c:v>
                </c:pt>
                <c:pt idx="112">
                  <c:v>-33.931519376766744</c:v>
                </c:pt>
                <c:pt idx="113">
                  <c:v>-34.550049419912803</c:v>
                </c:pt>
                <c:pt idx="114">
                  <c:v>-35.173955067421161</c:v>
                </c:pt>
                <c:pt idx="115">
                  <c:v>-35.802997642163696</c:v>
                </c:pt>
                <c:pt idx="116">
                  <c:v>-36.436927351190931</c:v>
                </c:pt>
                <c:pt idx="117">
                  <c:v>-37.075483658053912</c:v>
                </c:pt>
                <c:pt idx="118">
                  <c:v>-37.718395711959282</c:v>
                </c:pt>
                <c:pt idx="119">
                  <c:v>-38.365382833092994</c:v>
                </c:pt>
                <c:pt idx="120">
                  <c:v>-39.016155052930557</c:v>
                </c:pt>
                <c:pt idx="121">
                  <c:v>-39.670413707818781</c:v>
                </c:pt>
                <c:pt idx="122">
                  <c:v>-40.327852083576872</c:v>
                </c:pt>
                <c:pt idx="123">
                  <c:v>-40.988156108343162</c:v>
                </c:pt>
                <c:pt idx="124">
                  <c:v>-41.651005090378568</c:v>
                </c:pt>
                <c:pt idx="125">
                  <c:v>-42.316072497048239</c:v>
                </c:pt>
                <c:pt idx="126">
                  <c:v>-42.983026770749966</c:v>
                </c:pt>
                <c:pt idx="127">
                  <c:v>-43.651532177130143</c:v>
                </c:pt>
                <c:pt idx="128">
                  <c:v>-44.321249680568613</c:v>
                </c:pt>
                <c:pt idx="129">
                  <c:v>-44.99183784159036</c:v>
                </c:pt>
                <c:pt idx="130">
                  <c:v>-45.662953730599597</c:v>
                </c:pt>
                <c:pt idx="131">
                  <c:v>-46.334253852151697</c:v>
                </c:pt>
                <c:pt idx="132">
                  <c:v>-47.005395073837732</c:v>
                </c:pt>
                <c:pt idx="133">
                  <c:v>-47.676035553814941</c:v>
                </c:pt>
                <c:pt idx="134">
                  <c:v>-48.345835661028353</c:v>
                </c:pt>
                <c:pt idx="135">
                  <c:v>-49.014458882250977</c:v>
                </c:pt>
                <c:pt idx="136">
                  <c:v>-49.681572710243366</c:v>
                </c:pt>
                <c:pt idx="137">
                  <c:v>-50.346849507543176</c:v>
                </c:pt>
                <c:pt idx="138">
                  <c:v>-51.009967340687226</c:v>
                </c:pt>
                <c:pt idx="139">
                  <c:v>-51.670610780018926</c:v>
                </c:pt>
                <c:pt idx="140">
                  <c:v>-52.328471660616877</c:v>
                </c:pt>
                <c:pt idx="141">
                  <c:v>-52.983249800329645</c:v>
                </c:pt>
                <c:pt idx="142">
                  <c:v>-53.634653671365747</c:v>
                </c:pt>
                <c:pt idx="143">
                  <c:v>-54.282401022395419</c:v>
                </c:pt>
                <c:pt idx="144">
                  <c:v>-54.926219448642371</c:v>
                </c:pt>
                <c:pt idx="145">
                  <c:v>-55.565846907964989</c:v>
                </c:pt>
                <c:pt idx="146">
                  <c:v>-56.201032181474076</c:v>
                </c:pt>
                <c:pt idx="147">
                  <c:v>-56.83153527775022</c:v>
                </c:pt>
                <c:pt idx="148">
                  <c:v>-57.457127780244797</c:v>
                </c:pt>
                <c:pt idx="149">
                  <c:v>-58.07759313794665</c:v>
                </c:pt>
                <c:pt idx="150">
                  <c:v>-58.692726899858883</c:v>
                </c:pt>
                <c:pt idx="151">
                  <c:v>-59.302336894278724</c:v>
                </c:pt>
                <c:pt idx="152">
                  <c:v>-59.906243354270352</c:v>
                </c:pt>
                <c:pt idx="153">
                  <c:v>-60.504278991092988</c:v>
                </c:pt>
                <c:pt idx="154">
                  <c:v>-61.096289017662535</c:v>
                </c:pt>
                <c:pt idx="155">
                  <c:v>-61.68213112442001</c:v>
                </c:pt>
                <c:pt idx="156">
                  <c:v>-62.261675410204155</c:v>
                </c:pt>
                <c:pt idx="157">
                  <c:v>-62.834804270937205</c:v>
                </c:pt>
                <c:pt idx="158">
                  <c:v>-63.401412249068919</c:v>
                </c:pt>
                <c:pt idx="159">
                  <c:v>-63.961405846851413</c:v>
                </c:pt>
                <c:pt idx="160">
                  <c:v>-64.514703306580131</c:v>
                </c:pt>
                <c:pt idx="161">
                  <c:v>-65.061234360974183</c:v>
                </c:pt>
                <c:pt idx="162">
                  <c:v>-65.600939956873674</c:v>
                </c:pt>
                <c:pt idx="163">
                  <c:v>-66.133771955398728</c:v>
                </c:pt>
                <c:pt idx="164">
                  <c:v>-66.659692811658033</c:v>
                </c:pt>
                <c:pt idx="165">
                  <c:v>-67.178675237014119</c:v>
                </c:pt>
                <c:pt idx="166">
                  <c:v>-67.690701846807272</c:v>
                </c:pt>
                <c:pt idx="167">
                  <c:v>-68.19576479632029</c:v>
                </c:pt>
                <c:pt idx="168">
                  <c:v>-68.693865407626049</c:v>
                </c:pt>
                <c:pt idx="169">
                  <c:v>-69.185013789817845</c:v>
                </c:pt>
                <c:pt idx="170">
                  <c:v>-69.669228454959949</c:v>
                </c:pt>
                <c:pt idx="171">
                  <c:v>-70.146535931935588</c:v>
                </c:pt>
                <c:pt idx="172">
                  <c:v>-70.616970380202687</c:v>
                </c:pt>
                <c:pt idx="173">
                  <c:v>-71.080573205298961</c:v>
                </c:pt>
                <c:pt idx="174">
                  <c:v>-71.537392677769546</c:v>
                </c:pt>
                <c:pt idx="175">
                  <c:v>-71.987483557028753</c:v>
                </c:pt>
                <c:pt idx="176">
                  <c:v>-72.430906721500662</c:v>
                </c:pt>
                <c:pt idx="177">
                  <c:v>-72.867728806231923</c:v>
                </c:pt>
                <c:pt idx="178">
                  <c:v>-73.298021849017502</c:v>
                </c:pt>
                <c:pt idx="179">
                  <c:v>-73.721862945936749</c:v>
                </c:pt>
                <c:pt idx="180">
                  <c:v>-74.139333917063468</c:v>
                </c:pt>
                <c:pt idx="181">
                  <c:v>-74.550520982983315</c:v>
                </c:pt>
                <c:pt idx="182">
                  <c:v>-74.955514452637686</c:v>
                </c:pt>
                <c:pt idx="183">
                  <c:v>-75.354408422895546</c:v>
                </c:pt>
                <c:pt idx="184">
                  <c:v>-75.747300490160725</c:v>
                </c:pt>
                <c:pt idx="185">
                  <c:v>-76.134291474222636</c:v>
                </c:pt>
                <c:pt idx="186">
                  <c:v>-76.515485154477958</c:v>
                </c:pt>
                <c:pt idx="187">
                  <c:v>-76.890988018569843</c:v>
                </c:pt>
                <c:pt idx="188">
                  <c:v>-77.260909023427658</c:v>
                </c:pt>
                <c:pt idx="189">
                  <c:v>-77.625359368622426</c:v>
                </c:pt>
                <c:pt idx="190">
                  <c:v>-77.98445228190586</c:v>
                </c:pt>
                <c:pt idx="191">
                  <c:v>-78.338302816747998</c:v>
                </c:pt>
                <c:pt idx="192">
                  <c:v>-78.687027661649296</c:v>
                </c:pt>
                <c:pt idx="193">
                  <c:v>-79.030744960969258</c:v>
                </c:pt>
                <c:pt idx="194">
                  <c:v>-79.369574146981833</c:v>
                </c:pt>
                <c:pt idx="195">
                  <c:v>-79.703635782842255</c:v>
                </c:pt>
                <c:pt idx="196">
                  <c:v>-80.033051416134697</c:v>
                </c:pt>
                <c:pt idx="197">
                  <c:v>-80.357943442646487</c:v>
                </c:pt>
                <c:pt idx="198">
                  <c:v>-80.678434980009925</c:v>
                </c:pt>
                <c:pt idx="199">
                  <c:v>-80.994649750838661</c:v>
                </c:pt>
                <c:pt idx="200">
                  <c:v>-81.306711974981923</c:v>
                </c:pt>
                <c:pt idx="201">
                  <c:v>-81.61474627051669</c:v>
                </c:pt>
                <c:pt idx="202">
                  <c:v>-81.918877563096231</c:v>
                </c:pt>
                <c:pt idx="203">
                  <c:v>-82.219231003275951</c:v>
                </c:pt>
                <c:pt idx="204">
                  <c:v>-82.515931891439024</c:v>
                </c:pt>
                <c:pt idx="205">
                  <c:v>-82.809105609950137</c:v>
                </c:pt>
                <c:pt idx="206">
                  <c:v>-83.098877562170472</c:v>
                </c:pt>
                <c:pt idx="207">
                  <c:v>-83.385373117975519</c:v>
                </c:pt>
                <c:pt idx="208">
                  <c:v>-83.668717565422313</c:v>
                </c:pt>
                <c:pt idx="209">
                  <c:v>-83.949036068224629</c:v>
                </c:pt>
                <c:pt idx="210">
                  <c:v>-84.226453628700682</c:v>
                </c:pt>
                <c:pt idx="211">
                  <c:v>-84.501095055869115</c:v>
                </c:pt>
                <c:pt idx="212">
                  <c:v>-84.773084938377266</c:v>
                </c:pt>
                <c:pt idx="213">
                  <c:v>-85.042547621957382</c:v>
                </c:pt>
                <c:pt idx="214">
                  <c:v>-85.309607191113301</c:v>
                </c:pt>
                <c:pt idx="215">
                  <c:v>-85.574387454753477</c:v>
                </c:pt>
                <c:pt idx="216">
                  <c:v>-85.837011935491745</c:v>
                </c:pt>
                <c:pt idx="217">
                  <c:v>-86.097603862350496</c:v>
                </c:pt>
                <c:pt idx="218">
                  <c:v>-86.356286166606793</c:v>
                </c:pt>
                <c:pt idx="219">
                  <c:v>-86.613181480532504</c:v>
                </c:pt>
                <c:pt idx="220">
                  <c:v>-86.868412138787065</c:v>
                </c:pt>
                <c:pt idx="221">
                  <c:v>-87.122100182230369</c:v>
                </c:pt>
                <c:pt idx="222">
                  <c:v>-87.374367363928286</c:v>
                </c:pt>
                <c:pt idx="223">
                  <c:v>-87.625335157134472</c:v>
                </c:pt>
                <c:pt idx="224">
                  <c:v>-87.875124765033107</c:v>
                </c:pt>
                <c:pt idx="225">
                  <c:v>-88.12385713203885</c:v>
                </c:pt>
                <c:pt idx="226">
                  <c:v>-88.371652956451356</c:v>
                </c:pt>
                <c:pt idx="227">
                  <c:v>-88.618632704267654</c:v>
                </c:pt>
                <c:pt idx="228">
                  <c:v>-88.864916623961236</c:v>
                </c:pt>
                <c:pt idx="229">
                  <c:v>-89.110624762040146</c:v>
                </c:pt>
                <c:pt idx="230">
                  <c:v>-89.355876979195543</c:v>
                </c:pt>
                <c:pt idx="231">
                  <c:v>-89.600792966861889</c:v>
                </c:pt>
                <c:pt idx="232">
                  <c:v>-89.845492264004577</c:v>
                </c:pt>
                <c:pt idx="233">
                  <c:v>-90.090094273956737</c:v>
                </c:pt>
                <c:pt idx="234">
                  <c:v>-90.334718281126598</c:v>
                </c:pt>
                <c:pt idx="235">
                  <c:v>-90.579483467394695</c:v>
                </c:pt>
                <c:pt idx="236">
                  <c:v>-90.824508928024017</c:v>
                </c:pt>
                <c:pt idx="237">
                  <c:v>-91.06991368690106</c:v>
                </c:pt>
                <c:pt idx="238">
                  <c:v>-91.315816710926597</c:v>
                </c:pt>
                <c:pt idx="239">
                  <c:v>-91.56233692337203</c:v>
                </c:pt>
                <c:pt idx="240">
                  <c:v>-91.80959321601496</c:v>
                </c:pt>
                <c:pt idx="241">
                  <c:v>-92.057704459864382</c:v>
                </c:pt>
                <c:pt idx="242">
                  <c:v>-92.306789514281419</c:v>
                </c:pt>
                <c:pt idx="243">
                  <c:v>-92.556967234298256</c:v>
                </c:pt>
                <c:pt idx="244">
                  <c:v>-92.808356475934545</c:v>
                </c:pt>
                <c:pt idx="245">
                  <c:v>-93.061076099302468</c:v>
                </c:pt>
                <c:pt idx="246">
                  <c:v>-93.315244969288912</c:v>
                </c:pt>
                <c:pt idx="247">
                  <c:v>-93.570981953597681</c:v>
                </c:pt>
                <c:pt idx="248">
                  <c:v>-93.828405917925167</c:v>
                </c:pt>
                <c:pt idx="249">
                  <c:v>-94.087635718042705</c:v>
                </c:pt>
                <c:pt idx="250">
                  <c:v>-94.348790188546189</c:v>
                </c:pt>
                <c:pt idx="251">
                  <c:v>-94.611988128031967</c:v>
                </c:pt>
                <c:pt idx="252">
                  <c:v>-94.877348280447109</c:v>
                </c:pt>
                <c:pt idx="253">
                  <c:v>-95.144989312361417</c:v>
                </c:pt>
                <c:pt idx="254">
                  <c:v>-95.415029785895641</c:v>
                </c:pt>
                <c:pt idx="255">
                  <c:v>-95.687588127039191</c:v>
                </c:pt>
                <c:pt idx="256">
                  <c:v>-95.962782589083204</c:v>
                </c:pt>
                <c:pt idx="257">
                  <c:v>-96.24073121089009</c:v>
                </c:pt>
                <c:pt idx="258">
                  <c:v>-96.521551769714662</c:v>
                </c:pt>
                <c:pt idx="259">
                  <c:v>-96.805361728291544</c:v>
                </c:pt>
                <c:pt idx="260">
                  <c:v>-97.092278175897917</c:v>
                </c:pt>
                <c:pt idx="261">
                  <c:v>-97.382417763099994</c:v>
                </c:pt>
                <c:pt idx="262">
                  <c:v>-97.675896629893259</c:v>
                </c:pt>
                <c:pt idx="263">
                  <c:v>-97.972830326946905</c:v>
                </c:pt>
                <c:pt idx="264">
                  <c:v>-98.273333729664529</c:v>
                </c:pt>
                <c:pt idx="265">
                  <c:v>-98.577520944784467</c:v>
                </c:pt>
                <c:pt idx="266">
                  <c:v>-98.885505209245423</c:v>
                </c:pt>
                <c:pt idx="267">
                  <c:v>-99.197398781057586</c:v>
                </c:pt>
                <c:pt idx="268">
                  <c:v>-99.513312821933653</c:v>
                </c:pt>
                <c:pt idx="269">
                  <c:v>-99.833357271450495</c:v>
                </c:pt>
                <c:pt idx="270">
                  <c:v>-100.15764071253436</c:v>
                </c:pt>
                <c:pt idx="271">
                  <c:v>-100.48627022809009</c:v>
                </c:pt>
                <c:pt idx="272">
                  <c:v>-100.81935124862095</c:v>
                </c:pt>
                <c:pt idx="273">
                  <c:v>-101.15698739072816</c:v>
                </c:pt>
                <c:pt idx="274">
                  <c:v>-101.49928028641246</c:v>
                </c:pt>
                <c:pt idx="275">
                  <c:v>-101.84632940315285</c:v>
                </c:pt>
                <c:pt idx="276">
                  <c:v>-102.19823185478822</c:v>
                </c:pt>
                <c:pt idx="277">
                  <c:v>-102.55508220328753</c:v>
                </c:pt>
                <c:pt idx="278">
                  <c:v>-102.91697225156169</c:v>
                </c:pt>
                <c:pt idx="279">
                  <c:v>-103.28399082754437</c:v>
                </c:pt>
                <c:pt idx="280">
                  <c:v>-103.65622355985003</c:v>
                </c:pt>
                <c:pt idx="281">
                  <c:v>-104.0337526454083</c:v>
                </c:pt>
                <c:pt idx="282">
                  <c:v>-104.41665660957158</c:v>
                </c:pt>
                <c:pt idx="283">
                  <c:v>-104.80501005929703</c:v>
                </c:pt>
                <c:pt idx="284">
                  <c:v>-105.19888343012157</c:v>
                </c:pt>
                <c:pt idx="285">
                  <c:v>-105.59834272776689</c:v>
                </c:pt>
                <c:pt idx="286">
                  <c:v>-106.00344926534343</c:v>
                </c:pt>
                <c:pt idx="287">
                  <c:v>-106.4142593972603</c:v>
                </c:pt>
                <c:pt idx="288">
                  <c:v>-106.83082425108942</c:v>
                </c:pt>
                <c:pt idx="289">
                  <c:v>-107.25318945878593</c:v>
                </c:pt>
                <c:pt idx="290">
                  <c:v>-107.68139488881718</c:v>
                </c:pt>
                <c:pt idx="291">
                  <c:v>-108.11547438091549</c:v>
                </c:pt>
                <c:pt idx="292">
                  <c:v>-108.55545548533183</c:v>
                </c:pt>
                <c:pt idx="293">
                  <c:v>-109.00135920862326</c:v>
                </c:pt>
                <c:pt idx="294">
                  <c:v>-109.45319976817497</c:v>
                </c:pt>
                <c:pt idx="295">
                  <c:v>-109.9109843578118</c:v>
                </c:pt>
                <c:pt idx="296">
                  <c:v>-110.37471292700452</c:v>
                </c:pt>
                <c:pt idx="297">
                  <c:v>-110.84437797632029</c:v>
                </c:pt>
                <c:pt idx="298">
                  <c:v>-111.31996437189893</c:v>
                </c:pt>
                <c:pt idx="299">
                  <c:v>-111.80144918184919</c:v>
                </c:pt>
                <c:pt idx="300">
                  <c:v>-112.28880153755891</c:v>
                </c:pt>
                <c:pt idx="301">
                  <c:v>-112.78198252299249</c:v>
                </c:pt>
                <c:pt idx="302">
                  <c:v>-113.2809450950906</c:v>
                </c:pt>
                <c:pt idx="303">
                  <c:v>-113.78563403841746</c:v>
                </c:pt>
                <c:pt idx="304">
                  <c:v>-114.29598595718427</c:v>
                </c:pt>
                <c:pt idx="305">
                  <c:v>-114.81192930772733</c:v>
                </c:pt>
                <c:pt idx="306">
                  <c:v>-115.3333844744337</c:v>
                </c:pt>
                <c:pt idx="307">
                  <c:v>-115.8602638919738</c:v>
                </c:pt>
                <c:pt idx="308">
                  <c:v>-116.39247221651944</c:v>
                </c:pt>
                <c:pt idx="309">
                  <c:v>-116.92990654840021</c:v>
                </c:pt>
                <c:pt idx="310">
                  <c:v>-117.47245670837468</c:v>
                </c:pt>
                <c:pt idx="311">
                  <c:v>-118.02000556935802</c:v>
                </c:pt>
                <c:pt idx="312">
                  <c:v>-118.5724294450703</c:v>
                </c:pt>
                <c:pt idx="313">
                  <c:v>-119.12959853663658</c:v>
                </c:pt>
                <c:pt idx="314">
                  <c:v>-119.69137743768054</c:v>
                </c:pt>
                <c:pt idx="315">
                  <c:v>-120.25762569792687</c:v>
                </c:pt>
                <c:pt idx="316">
                  <c:v>-120.82819844475389</c:v>
                </c:pt>
                <c:pt idx="317">
                  <c:v>-121.40294706151279</c:v>
                </c:pt>
                <c:pt idx="318">
                  <c:v>-121.98171992078824</c:v>
                </c:pt>
                <c:pt idx="319">
                  <c:v>-122.56436317009687</c:v>
                </c:pt>
                <c:pt idx="320">
                  <c:v>-123.15072156681667</c:v>
                </c:pt>
                <c:pt idx="321">
                  <c:v>-123.74063935843861</c:v>
                </c:pt>
                <c:pt idx="322">
                  <c:v>-124.33396120351389</c:v>
                </c:pt>
                <c:pt idx="323">
                  <c:v>-124.93053312797574</c:v>
                </c:pt>
                <c:pt idx="324">
                  <c:v>-125.53020351082104</c:v>
                </c:pt>
                <c:pt idx="325">
                  <c:v>-126.13282409248943</c:v>
                </c:pt>
                <c:pt idx="326">
                  <c:v>-126.73825099865493</c:v>
                </c:pt>
                <c:pt idx="327">
                  <c:v>-127.34634577159218</c:v>
                </c:pt>
                <c:pt idx="328">
                  <c:v>-127.95697640076457</c:v>
                </c:pt>
                <c:pt idx="329">
                  <c:v>-128.5700183438654</c:v>
                </c:pt>
                <c:pt idx="330">
                  <c:v>-129.18535552917305</c:v>
                </c:pt>
                <c:pt idx="331">
                  <c:v>-129.80288132984913</c:v>
                </c:pt>
                <c:pt idx="332">
                  <c:v>-130.42249950061947</c:v>
                </c:pt>
                <c:pt idx="333">
                  <c:v>-131.04412506723139</c:v>
                </c:pt>
                <c:pt idx="334">
                  <c:v>-131.66768515912358</c:v>
                </c:pt>
                <c:pt idx="335">
                  <c:v>-132.29311977590308</c:v>
                </c:pt>
                <c:pt idx="336">
                  <c:v>-132.92038247849081</c:v>
                </c:pt>
                <c:pt idx="337">
                  <c:v>-133.5494409961797</c:v>
                </c:pt>
                <c:pt idx="338">
                  <c:v>-134.18027774134706</c:v>
                </c:pt>
                <c:pt idx="339">
                  <c:v>-134.81289022414751</c:v>
                </c:pt>
                <c:pt idx="340">
                  <c:v>-135.44729136023463</c:v>
                </c:pt>
                <c:pt idx="341">
                  <c:v>-136.08350966534101</c:v>
                </c:pt>
                <c:pt idx="342">
                  <c:v>-136.72158933144289</c:v>
                </c:pt>
                <c:pt idx="343">
                  <c:v>-137.36159018019998</c:v>
                </c:pt>
                <c:pt idx="344">
                  <c:v>-138.00358749040183</c:v>
                </c:pt>
                <c:pt idx="345">
                  <c:v>-138.6476716972488</c:v>
                </c:pt>
                <c:pt idx="346">
                  <c:v>-139.29394796243881</c:v>
                </c:pt>
                <c:pt idx="347">
                  <c:v>-139.94253561521543</c:v>
                </c:pt>
                <c:pt idx="348">
                  <c:v>-140.59356746573735</c:v>
                </c:pt>
                <c:pt idx="349">
                  <c:v>-141.24718899333729</c:v>
                </c:pt>
                <c:pt idx="350">
                  <c:v>-141.90355741345786</c:v>
                </c:pt>
                <c:pt idx="351">
                  <c:v>-142.56284062823335</c:v>
                </c:pt>
                <c:pt idx="352">
                  <c:v>-143.22521606685638</c:v>
                </c:pt>
                <c:pt idx="353">
                  <c:v>-143.89086942298789</c:v>
                </c:pt>
                <c:pt idx="354">
                  <c:v>-144.55999329752601</c:v>
                </c:pt>
                <c:pt idx="355">
                  <c:v>-145.2327857560538</c:v>
                </c:pt>
                <c:pt idx="356">
                  <c:v>-145.90944881119972</c:v>
                </c:pt>
                <c:pt idx="357">
                  <c:v>-146.59018684097342</c:v>
                </c:pt>
                <c:pt idx="358">
                  <c:v>-147.27520495487988</c:v>
                </c:pt>
                <c:pt idx="359">
                  <c:v>-147.96470732022783</c:v>
                </c:pt>
                <c:pt idx="360">
                  <c:v>-148.65889546158388</c:v>
                </c:pt>
                <c:pt idx="361">
                  <c:v>-149.3579665466994</c:v>
                </c:pt>
                <c:pt idx="362">
                  <c:v>-150.06211167253352</c:v>
                </c:pt>
                <c:pt idx="363">
                  <c:v>-150.77151416513476</c:v>
                </c:pt>
                <c:pt idx="364">
                  <c:v>-151.48634790717327</c:v>
                </c:pt>
                <c:pt idx="365">
                  <c:v>-152.20677570682585</c:v>
                </c:pt>
                <c:pt idx="366">
                  <c:v>-152.93294772147431</c:v>
                </c:pt>
                <c:pt idx="367">
                  <c:v>-153.66499994935046</c:v>
                </c:pt>
                <c:pt idx="368">
                  <c:v>-154.40305280179118</c:v>
                </c:pt>
                <c:pt idx="369">
                  <c:v>-155.14720976818077</c:v>
                </c:pt>
                <c:pt idx="370">
                  <c:v>-155.89755618499285</c:v>
                </c:pt>
                <c:pt idx="371">
                  <c:v>-156.65415811954028</c:v>
                </c:pt>
                <c:pt idx="372">
                  <c:v>-157.41706137817377</c:v>
                </c:pt>
                <c:pt idx="373">
                  <c:v>-158.18629064770093</c:v>
                </c:pt>
                <c:pt idx="374">
                  <c:v>-158.96184877775801</c:v>
                </c:pt>
                <c:pt idx="375">
                  <c:v>-159.74371621075548</c:v>
                </c:pt>
                <c:pt idx="376">
                  <c:v>-160.5318505648533</c:v>
                </c:pt>
                <c:pt idx="377">
                  <c:v>-161.32618637420461</c:v>
                </c:pt>
                <c:pt idx="378">
                  <c:v>-162.12663498944985</c:v>
                </c:pt>
                <c:pt idx="379">
                  <c:v>-162.9330846401644</c:v>
                </c:pt>
                <c:pt idx="380">
                  <c:v>-163.74540065965448</c:v>
                </c:pt>
                <c:pt idx="381">
                  <c:v>-164.56342587119053</c:v>
                </c:pt>
                <c:pt idx="382">
                  <c:v>-165.38698113345814</c:v>
                </c:pt>
                <c:pt idx="383">
                  <c:v>-166.21586604170821</c:v>
                </c:pt>
                <c:pt idx="384">
                  <c:v>-167.04985977981536</c:v>
                </c:pt>
                <c:pt idx="385">
                  <c:v>-167.88872211721309</c:v>
                </c:pt>
                <c:pt idx="386">
                  <c:v>-168.73219454347054</c:v>
                </c:pt>
                <c:pt idx="387">
                  <c:v>-169.58000153213428</c:v>
                </c:pt>
                <c:pt idx="388">
                  <c:v>-170.43185192436542</c:v>
                </c:pt>
                <c:pt idx="389">
                  <c:v>-171.28744042189095</c:v>
                </c:pt>
                <c:pt idx="390">
                  <c:v>-172.14644917784565</c:v>
                </c:pt>
                <c:pt idx="391">
                  <c:v>-173.00854947324225</c:v>
                </c:pt>
                <c:pt idx="392">
                  <c:v>-173.87340346604245</c:v>
                </c:pt>
                <c:pt idx="393">
                  <c:v>-174.74066599915588</c:v>
                </c:pt>
                <c:pt idx="394">
                  <c:v>-175.60998645316036</c:v>
                </c:pt>
                <c:pt idx="395">
                  <c:v>-176.48101062910158</c:v>
                </c:pt>
                <c:pt idx="396">
                  <c:v>-177.35338264643553</c:v>
                </c:pt>
                <c:pt idx="397">
                  <c:v>-178.226746841004</c:v>
                </c:pt>
                <c:pt idx="398">
                  <c:v>-179.1007496478787</c:v>
                </c:pt>
                <c:pt idx="399">
                  <c:v>-179.9750414540039</c:v>
                </c:pt>
                <c:pt idx="400">
                  <c:v>179.15072159421504</c:v>
                </c:pt>
                <c:pt idx="401">
                  <c:v>178.2768758428719</c:v>
                </c:pt>
                <c:pt idx="402">
                  <c:v>177.40374845608204</c:v>
                </c:pt>
                <c:pt idx="403">
                  <c:v>176.53165582845017</c:v>
                </c:pt>
                <c:pt idx="404">
                  <c:v>175.66090209712959</c:v>
                </c:pt>
                <c:pt idx="405">
                  <c:v>174.79177776524804</c:v>
                </c:pt>
                <c:pt idx="406">
                  <c:v>173.92455844748648</c:v>
                </c:pt>
                <c:pt idx="407">
                  <c:v>173.05950374751163</c:v>
                </c:pt>
                <c:pt idx="408">
                  <c:v>172.19685627577149</c:v>
                </c:pt>
                <c:pt idx="409">
                  <c:v>171.33684081488181</c:v>
                </c:pt>
                <c:pt idx="410">
                  <c:v>170.47966363849054</c:v>
                </c:pt>
                <c:pt idx="411">
                  <c:v>169.62551198808114</c:v>
                </c:pt>
                <c:pt idx="412">
                  <c:v>168.77455371072372</c:v>
                </c:pt>
                <c:pt idx="413">
                  <c:v>167.92693705928923</c:v>
                </c:pt>
                <c:pt idx="414">
                  <c:v>167.08279065512949</c:v>
                </c:pt>
                <c:pt idx="415">
                  <c:v>166.24222361172087</c:v>
                </c:pt>
                <c:pt idx="416">
                  <c:v>165.40532581627835</c:v>
                </c:pt>
                <c:pt idx="417">
                  <c:v>164.57216836488948</c:v>
                </c:pt>
                <c:pt idx="418">
                  <c:v>163.74280414530804</c:v>
                </c:pt>
                <c:pt idx="419">
                  <c:v>162.91726856021353</c:v>
                </c:pt>
                <c:pt idx="420">
                  <c:v>162.09558038247403</c:v>
                </c:pt>
                <c:pt idx="421">
                  <c:v>161.27774273279886</c:v>
                </c:pt>
                <c:pt idx="422">
                  <c:v>160.46374416910078</c:v>
                </c:pt>
                <c:pt idx="423">
                  <c:v>159.65355987596399</c:v>
                </c:pt>
                <c:pt idx="424">
                  <c:v>158.84715294180262</c:v>
                </c:pt>
                <c:pt idx="425">
                  <c:v>158.04447571063383</c:v>
                </c:pt>
                <c:pt idx="426">
                  <c:v>157.24547119486039</c:v>
                </c:pt>
                <c:pt idx="427">
                  <c:v>156.45007453510257</c:v>
                </c:pt>
                <c:pt idx="428">
                  <c:v>155.65821449287353</c:v>
                </c:pt>
                <c:pt idx="429">
                  <c:v>154.86981496183992</c:v>
                </c:pt>
                <c:pt idx="430">
                  <c:v>154.08479648348833</c:v>
                </c:pt>
                <c:pt idx="431">
                  <c:v>153.30307775323351</c:v>
                </c:pt>
                <c:pt idx="432">
                  <c:v>152.52457710338285</c:v>
                </c:pt>
                <c:pt idx="433">
                  <c:v>151.74921394986455</c:v>
                </c:pt>
                <c:pt idx="434">
                  <c:v>150.97691019026163</c:v>
                </c:pt>
                <c:pt idx="435">
                  <c:v>150.2075915414311</c:v>
                </c:pt>
                <c:pt idx="436">
                  <c:v>149.44118880583429</c:v>
                </c:pt>
                <c:pt idx="437">
                  <c:v>148.67763905666087</c:v>
                </c:pt>
                <c:pt idx="438">
                  <c:v>147.91688673282627</c:v>
                </c:pt>
                <c:pt idx="439">
                  <c:v>147.15888463604543</c:v>
                </c:pt>
                <c:pt idx="440">
                  <c:v>146.40359482329896</c:v>
                </c:pt>
                <c:pt idx="441">
                  <c:v>145.65098938922094</c:v>
                </c:pt>
                <c:pt idx="442">
                  <c:v>144.90105113413298</c:v>
                </c:pt>
                <c:pt idx="443">
                  <c:v>144.15377411468091</c:v>
                </c:pt>
                <c:pt idx="444">
                  <c:v>143.40916407526279</c:v>
                </c:pt>
                <c:pt idx="445">
                  <c:v>142.66723875962913</c:v>
                </c:pt>
                <c:pt idx="446">
                  <c:v>141.92802810324434</c:v>
                </c:pt>
                <c:pt idx="447">
                  <c:v>141.19157430812331</c:v>
                </c:pt>
                <c:pt idx="448">
                  <c:v>140.45793180296658</c:v>
                </c:pt>
                <c:pt idx="449">
                  <c:v>139.72716709243318</c:v>
                </c:pt>
                <c:pt idx="450">
                  <c:v>138.99935850037249</c:v>
                </c:pt>
                <c:pt idx="451">
                  <c:v>138.27459581269224</c:v>
                </c:pt>
                <c:pt idx="452">
                  <c:v>137.55297982635165</c:v>
                </c:pt>
                <c:pt idx="453">
                  <c:v>136.83462181164555</c:v>
                </c:pt>
                <c:pt idx="454">
                  <c:v>136.11964289555939</c:v>
                </c:pt>
                <c:pt idx="455">
                  <c:v>135.40817337444108</c:v>
                </c:pt>
                <c:pt idx="456">
                  <c:v>134.70035196463837</c:v>
                </c:pt>
                <c:pt idx="457">
                  <c:v>133.99632500000686</c:v>
                </c:pt>
                <c:pt idx="458">
                  <c:v>133.29624558536679</c:v>
                </c:pt>
                <c:pt idx="459">
                  <c:v>132.60027271503222</c:v>
                </c:pt>
                <c:pt idx="460">
                  <c:v>131.90857036549909</c:v>
                </c:pt>
                <c:pt idx="461">
                  <c:v>131.22130657122145</c:v>
                </c:pt>
                <c:pt idx="462">
                  <c:v>130.53865249216489</c:v>
                </c:pt>
                <c:pt idx="463">
                  <c:v>129.8607814815006</c:v>
                </c:pt>
                <c:pt idx="464">
                  <c:v>129.18786816139075</c:v>
                </c:pt>
                <c:pt idx="465">
                  <c:v>128.52008751434101</c:v>
                </c:pt>
                <c:pt idx="466">
                  <c:v>127.85761399705508</c:v>
                </c:pt>
                <c:pt idx="467">
                  <c:v>127.20062068313774</c:v>
                </c:pt>
                <c:pt idx="468">
                  <c:v>126.54927844037356</c:v>
                </c:pt>
                <c:pt idx="469">
                  <c:v>125.90375514763006</c:v>
                </c:pt>
                <c:pt idx="470">
                  <c:v>125.26421495578444</c:v>
                </c:pt>
                <c:pt idx="471">
                  <c:v>124.63081759636272</c:v>
                </c:pt>
                <c:pt idx="472">
                  <c:v>124.00371774092419</c:v>
                </c:pt>
                <c:pt idx="473">
                  <c:v>123.38306441352105</c:v>
                </c:pt>
                <c:pt idx="474">
                  <c:v>122.7690004579336</c:v>
                </c:pt>
                <c:pt idx="475">
                  <c:v>122.16166206074276</c:v>
                </c:pt>
                <c:pt idx="476">
                  <c:v>121.56117833070589</c:v>
                </c:pt>
                <c:pt idx="477">
                  <c:v>120.96767093434993</c:v>
                </c:pt>
                <c:pt idx="478">
                  <c:v>120.38125378717821</c:v>
                </c:pt>
                <c:pt idx="479">
                  <c:v>119.80203279942123</c:v>
                </c:pt>
                <c:pt idx="480">
                  <c:v>119.23010567484428</c:v>
                </c:pt>
                <c:pt idx="481">
                  <c:v>118.66556176075278</c:v>
                </c:pt>
                <c:pt idx="482">
                  <c:v>118.10848194702207</c:v>
                </c:pt>
                <c:pt idx="483">
                  <c:v>117.55893861171083</c:v>
                </c:pt>
                <c:pt idx="484">
                  <c:v>117.01699561059344</c:v>
                </c:pt>
                <c:pt idx="485">
                  <c:v>116.48270830778424</c:v>
                </c:pt>
                <c:pt idx="486">
                  <c:v>115.95612364449796</c:v>
                </c:pt>
                <c:pt idx="487">
                  <c:v>115.43728024290331</c:v>
                </c:pt>
                <c:pt idx="488">
                  <c:v>114.92620854199269</c:v>
                </c:pt>
                <c:pt idx="489">
                  <c:v>114.42293096237358</c:v>
                </c:pt>
                <c:pt idx="490">
                  <c:v>113.9274620969214</c:v>
                </c:pt>
                <c:pt idx="491">
                  <c:v>113.43980892427668</c:v>
                </c:pt>
                <c:pt idx="492">
                  <c:v>112.95997104226048</c:v>
                </c:pt>
                <c:pt idx="493">
                  <c:v>112.48794091836831</c:v>
                </c:pt>
                <c:pt idx="494">
                  <c:v>112.02370415463544</c:v>
                </c:pt>
                <c:pt idx="495">
                  <c:v>111.56723976427983</c:v>
                </c:pt>
                <c:pt idx="496">
                  <c:v>111.11852045769594</c:v>
                </c:pt>
                <c:pt idx="497">
                  <c:v>110.67751293550143</c:v>
                </c:pt>
                <c:pt idx="498">
                  <c:v>110.24417818651284</c:v>
                </c:pt>
                <c:pt idx="499">
                  <c:v>109.81847178867932</c:v>
                </c:pt>
                <c:pt idx="500">
                  <c:v>109.40034421116566</c:v>
                </c:pt>
                <c:pt idx="501">
                  <c:v>108.98974111593995</c:v>
                </c:pt>
                <c:pt idx="502">
                  <c:v>108.58660365737794</c:v>
                </c:pt>
                <c:pt idx="503">
                  <c:v>108.19086877854448</c:v>
                </c:pt>
                <c:pt idx="504">
                  <c:v>107.80246950297612</c:v>
                </c:pt>
                <c:pt idx="505">
                  <c:v>107.42133522091272</c:v>
                </c:pt>
                <c:pt idx="506">
                  <c:v>107.04739196907923</c:v>
                </c:pt>
                <c:pt idx="507">
                  <c:v>106.68056270323656</c:v>
                </c:pt>
                <c:pt idx="508">
                  <c:v>106.32076756284341</c:v>
                </c:pt>
                <c:pt idx="509">
                  <c:v>105.96792412728827</c:v>
                </c:pt>
                <c:pt idx="510">
                  <c:v>105.62194766324824</c:v>
                </c:pt>
                <c:pt idx="511">
                  <c:v>105.28275136283105</c:v>
                </c:pt>
                <c:pt idx="512">
                  <c:v>104.95024657224653</c:v>
                </c:pt>
                <c:pt idx="513">
                  <c:v>104.62434301082835</c:v>
                </c:pt>
                <c:pt idx="514">
                  <c:v>104.30494898030535</c:v>
                </c:pt>
                <c:pt idx="515">
                  <c:v>103.99197156428058</c:v>
                </c:pt>
                <c:pt idx="516">
                  <c:v>103.68531681794128</c:v>
                </c:pt>
                <c:pt idx="517">
                  <c:v>103.38488994806552</c:v>
                </c:pt>
                <c:pt idx="518">
                  <c:v>103.09059548344467</c:v>
                </c:pt>
                <c:pt idx="519">
                  <c:v>102.80233743587331</c:v>
                </c:pt>
                <c:pt idx="520">
                  <c:v>102.52001945189552</c:v>
                </c:pt>
                <c:pt idx="521">
                  <c:v>102.24354495552291</c:v>
                </c:pt>
                <c:pt idx="522">
                  <c:v>101.97281728216512</c:v>
                </c:pt>
                <c:pt idx="523">
                  <c:v>101.70773980403142</c:v>
                </c:pt>
                <c:pt idx="524">
                  <c:v>101.44821604727825</c:v>
                </c:pt>
                <c:pt idx="525">
                  <c:v>101.19414980119029</c:v>
                </c:pt>
                <c:pt idx="526">
                  <c:v>100.94544521969156</c:v>
                </c:pt>
                <c:pt idx="527">
                  <c:v>100.70200691548699</c:v>
                </c:pt>
                <c:pt idx="528">
                  <c:v>100.46374004714247</c:v>
                </c:pt>
                <c:pt idx="529">
                  <c:v>100.23055039940742</c:v>
                </c:pt>
                <c:pt idx="530">
                  <c:v>100.00234445709117</c:v>
                </c:pt>
                <c:pt idx="531">
                  <c:v>99.779029472790967</c:v>
                </c:pt>
                <c:pt idx="532">
                  <c:v>99.560513528779751</c:v>
                </c:pt>
                <c:pt idx="533">
                  <c:v>99.346705593341099</c:v>
                </c:pt>
                <c:pt idx="534">
                  <c:v>99.137515571848567</c:v>
                </c:pt>
                <c:pt idx="535">
                  <c:v>98.932854352865846</c:v>
                </c:pt>
                <c:pt idx="536">
                  <c:v>98.7326338495469</c:v>
                </c:pt>
                <c:pt idx="537">
                  <c:v>98.536767036599642</c:v>
                </c:pt>
                <c:pt idx="538">
                  <c:v>98.345167983073452</c:v>
                </c:pt>
                <c:pt idx="539">
                  <c:v>98.15775188121809</c:v>
                </c:pt>
                <c:pt idx="540">
                  <c:v>97.974435071653488</c:v>
                </c:pt>
                <c:pt idx="541">
                  <c:v>97.795135065081837</c:v>
                </c:pt>
              </c:numCache>
            </c:numRef>
          </c:yVal>
          <c:smooth val="1"/>
          <c:extLst>
            <c:ext xmlns:c16="http://schemas.microsoft.com/office/drawing/2014/chart" uri="{C3380CC4-5D6E-409C-BE32-E72D297353CC}">
              <c16:uniqueId val="{00000001-C0DB-44D3-93C3-2FD2B4FE1384}"/>
            </c:ext>
          </c:extLst>
        </c:ser>
        <c:dLbls>
          <c:showLegendKey val="0"/>
          <c:showVal val="0"/>
          <c:showCatName val="0"/>
          <c:showSerName val="0"/>
          <c:showPercent val="0"/>
          <c:showBubbleSize val="0"/>
        </c:dLbls>
        <c:axId val="555250048"/>
        <c:axId val="555235968"/>
      </c:scatterChart>
      <c:valAx>
        <c:axId val="55523187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234048"/>
        <c:crosses val="autoZero"/>
        <c:crossBetween val="midCat"/>
      </c:valAx>
      <c:valAx>
        <c:axId val="55523404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31872"/>
        <c:crosses val="autoZero"/>
        <c:crossBetween val="midCat"/>
        <c:majorUnit val="20"/>
        <c:minorUnit val="10"/>
      </c:valAx>
      <c:valAx>
        <c:axId val="555235968"/>
        <c:scaling>
          <c:orientation val="minMax"/>
          <c:max val="180"/>
          <c:min val="-180"/>
        </c:scaling>
        <c:delete val="0"/>
        <c:axPos val="r"/>
        <c:numFmt formatCode="General" sourceLinked="1"/>
        <c:majorTickMark val="out"/>
        <c:minorTickMark val="none"/>
        <c:tickLblPos val="nextTo"/>
        <c:crossAx val="555250048"/>
        <c:crosses val="max"/>
        <c:crossBetween val="midCat"/>
        <c:majorUnit val="90"/>
        <c:minorUnit val="45"/>
      </c:valAx>
      <c:valAx>
        <c:axId val="555250048"/>
        <c:scaling>
          <c:logBase val="10"/>
          <c:orientation val="minMax"/>
        </c:scaling>
        <c:delete val="1"/>
        <c:axPos val="b"/>
        <c:numFmt formatCode="0.00" sourceLinked="1"/>
        <c:majorTickMark val="out"/>
        <c:minorTickMark val="none"/>
        <c:tickLblPos val="nextTo"/>
        <c:crossAx val="555235968"/>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Loop_Modeling!$BG$19:$BG$560</c:f>
              <c:numCache>
                <c:formatCode>General</c:formatCode>
                <c:ptCount val="542"/>
                <c:pt idx="0">
                  <c:v>20.684980530750838</c:v>
                </c:pt>
                <c:pt idx="1">
                  <c:v>20.485725046465141</c:v>
                </c:pt>
                <c:pt idx="2">
                  <c:v>20.286504513231471</c:v>
                </c:pt>
                <c:pt idx="3">
                  <c:v>20.087320565088827</c:v>
                </c:pt>
                <c:pt idx="4">
                  <c:v>19.88817491182521</c:v>
                </c:pt>
                <c:pt idx="5">
                  <c:v>19.689069342426858</c:v>
                </c:pt>
                <c:pt idx="6">
                  <c:v>19.490005728678902</c:v>
                </c:pt>
                <c:pt idx="7">
                  <c:v>19.290986028922941</c:v>
                </c:pt>
                <c:pt idx="8">
                  <c:v>19.092012291978314</c:v>
                </c:pt>
                <c:pt idx="9">
                  <c:v>18.893086661232804</c:v>
                </c:pt>
                <c:pt idx="10">
                  <c:v>18.694211378910136</c:v>
                </c:pt>
                <c:pt idx="11">
                  <c:v>18.495388790520224</c:v>
                </c:pt>
                <c:pt idx="12">
                  <c:v>18.296621349499759</c:v>
                </c:pt>
                <c:pt idx="13">
                  <c:v>18.097911622050049</c:v>
                </c:pt>
                <c:pt idx="14">
                  <c:v>17.89926229217923</c:v>
                </c:pt>
                <c:pt idx="15">
                  <c:v>17.70067616695669</c:v>
                </c:pt>
                <c:pt idx="16">
                  <c:v>17.502156181986578</c:v>
                </c:pt>
                <c:pt idx="17">
                  <c:v>17.303705407109284</c:v>
                </c:pt>
                <c:pt idx="18">
                  <c:v>17.105327052337643</c:v>
                </c:pt>
                <c:pt idx="19">
                  <c:v>16.907024474036263</c:v>
                </c:pt>
                <c:pt idx="20">
                  <c:v>16.708801181352484</c:v>
                </c:pt>
                <c:pt idx="21">
                  <c:v>16.510660842906077</c:v>
                </c:pt>
                <c:pt idx="22">
                  <c:v>16.312607293747323</c:v>
                </c:pt>
                <c:pt idx="23">
                  <c:v>16.114644542590042</c:v>
                </c:pt>
                <c:pt idx="24">
                  <c:v>15.916776779329428</c:v>
                </c:pt>
                <c:pt idx="25">
                  <c:v>15.719008382851392</c:v>
                </c:pt>
                <c:pt idx="26">
                  <c:v>15.521343929142875</c:v>
                </c:pt>
                <c:pt idx="27">
                  <c:v>15.323788199709947</c:v>
                </c:pt>
                <c:pt idx="28">
                  <c:v>15.126346190312363</c:v>
                </c:pt>
                <c:pt idx="29">
                  <c:v>14.929023120021945</c:v>
                </c:pt>
                <c:pt idx="30">
                  <c:v>14.731824440611646</c:v>
                </c:pt>
                <c:pt idx="31">
                  <c:v>14.534755846283174</c:v>
                </c:pt>
                <c:pt idx="32">
                  <c:v>14.337823283739276</c:v>
                </c:pt>
                <c:pt idx="33">
                  <c:v>14.141032962606253</c:v>
                </c:pt>
                <c:pt idx="34">
                  <c:v>13.944391366213962</c:v>
                </c:pt>
                <c:pt idx="35">
                  <c:v>13.74790526273568</c:v>
                </c:pt>
                <c:pt idx="36">
                  <c:v>13.551581716694166</c:v>
                </c:pt>
                <c:pt idx="37">
                  <c:v>13.355428100836214</c:v>
                </c:pt>
                <c:pt idx="38">
                  <c:v>13.159452108377351</c:v>
                </c:pt>
                <c:pt idx="39">
                  <c:v>12.963661765619037</c:v>
                </c:pt>
                <c:pt idx="40">
                  <c:v>12.768065444936816</c:v>
                </c:pt>
                <c:pt idx="41">
                  <c:v>12.572671878139223</c:v>
                </c:pt>
                <c:pt idx="42">
                  <c:v>12.377490170192811</c:v>
                </c:pt>
                <c:pt idx="43">
                  <c:v>12.182529813308978</c:v>
                </c:pt>
                <c:pt idx="44">
                  <c:v>11.987800701386064</c:v>
                </c:pt>
                <c:pt idx="45">
                  <c:v>11.793313144796816</c:v>
                </c:pt>
                <c:pt idx="46">
                  <c:v>11.599077885509491</c:v>
                </c:pt>
                <c:pt idx="47">
                  <c:v>11.405106112529973</c:v>
                </c:pt>
                <c:pt idx="48">
                  <c:v>11.211409477646093</c:v>
                </c:pt>
                <c:pt idx="49">
                  <c:v>11.018000111454924</c:v>
                </c:pt>
                <c:pt idx="50">
                  <c:v>10.824890639649261</c:v>
                </c:pt>
                <c:pt idx="51">
                  <c:v>10.632094199536933</c:v>
                </c:pt>
                <c:pt idx="52">
                  <c:v>10.439624456760018</c:v>
                </c:pt>
                <c:pt idx="53">
                  <c:v>10.247495622180134</c:v>
                </c:pt>
                <c:pt idx="54">
                  <c:v>10.055722468889165</c:v>
                </c:pt>
                <c:pt idx="55">
                  <c:v>9.8643203492997564</c:v>
                </c:pt>
                <c:pt idx="56">
                  <c:v>9.6733052122667349</c:v>
                </c:pt>
                <c:pt idx="57">
                  <c:v>9.4826936201820704</c:v>
                </c:pt>
                <c:pt idx="58">
                  <c:v>9.2925027659827482</c:v>
                </c:pt>
                <c:pt idx="59">
                  <c:v>9.1027504900025864</c:v>
                </c:pt>
                <c:pt idx="60">
                  <c:v>8.9134552965939466</c:v>
                </c:pt>
                <c:pt idx="61">
                  <c:v>8.7246363704369472</c:v>
                </c:pt>
                <c:pt idx="62">
                  <c:v>8.5363135924483249</c:v>
                </c:pt>
                <c:pt idx="63">
                  <c:v>8.3485075551918548</c:v>
                </c:pt>
                <c:pt idx="64">
                  <c:v>8.1612395776882867</c:v>
                </c:pt>
                <c:pt idx="65">
                  <c:v>7.9745317195097956</c:v>
                </c:pt>
                <c:pt idx="66">
                  <c:v>7.7884067940409576</c:v>
                </c:pt>
                <c:pt idx="67">
                  <c:v>7.6028883807757452</c:v>
                </c:pt>
                <c:pt idx="68">
                  <c:v>7.4180008365134871</c:v>
                </c:pt>
                <c:pt idx="69">
                  <c:v>7.233769305308801</c:v>
                </c:pt>
                <c:pt idx="70">
                  <c:v>7.0502197270201492</c:v>
                </c:pt>
                <c:pt idx="71">
                  <c:v>6.8673788442958363</c:v>
                </c:pt>
                <c:pt idx="72">
                  <c:v>6.6852742078261116</c:v>
                </c:pt>
                <c:pt idx="73">
                  <c:v>6.5039341796846903</c:v>
                </c:pt>
                <c:pt idx="74">
                  <c:v>6.3233879345736916</c:v>
                </c:pt>
                <c:pt idx="75">
                  <c:v>6.1436654587820456</c:v>
                </c:pt>
                <c:pt idx="76">
                  <c:v>5.9647975466597387</c:v>
                </c:pt>
                <c:pt idx="77">
                  <c:v>5.7868157944071976</c:v>
                </c:pt>
                <c:pt idx="78">
                  <c:v>5.6097525909749413</c:v>
                </c:pt>
                <c:pt idx="79">
                  <c:v>5.4336411058676681</c:v>
                </c:pt>
                <c:pt idx="80">
                  <c:v>5.2585152736445409</c:v>
                </c:pt>
                <c:pt idx="81">
                  <c:v>5.0844097749117978</c:v>
                </c:pt>
                <c:pt idx="82">
                  <c:v>4.9113600136033542</c:v>
                </c:pt>
                <c:pt idx="83">
                  <c:v>4.7394020903548038</c:v>
                </c:pt>
                <c:pt idx="84">
                  <c:v>4.5685727717804987</c:v>
                </c:pt>
                <c:pt idx="85">
                  <c:v>4.398909455476133</c:v>
                </c:pt>
                <c:pt idx="86">
                  <c:v>4.2304501305819349</c:v>
                </c:pt>
                <c:pt idx="87">
                  <c:v>4.0632333337585225</c:v>
                </c:pt>
                <c:pt idx="88">
                  <c:v>3.8972981004453011</c:v>
                </c:pt>
                <c:pt idx="89">
                  <c:v>3.7326839112969603</c:v>
                </c:pt>
                <c:pt idx="90">
                  <c:v>3.569430633716808</c:v>
                </c:pt>
                <c:pt idx="91">
                  <c:v>3.407578458437607</c:v>
                </c:pt>
                <c:pt idx="92">
                  <c:v>3.2471678311316614</c:v>
                </c:pt>
                <c:pt idx="93">
                  <c:v>3.0882393790707425</c:v>
                </c:pt>
                <c:pt idx="94">
                  <c:v>2.9308338328930206</c:v>
                </c:pt>
                <c:pt idx="95">
                  <c:v>2.7749919435800141</c:v>
                </c:pt>
                <c:pt idx="96">
                  <c:v>2.6207543947893281</c:v>
                </c:pt>
                <c:pt idx="97">
                  <c:v>2.468161710739472</c:v>
                </c:pt>
                <c:pt idx="98">
                  <c:v>2.3172541598916854</c:v>
                </c:pt>
                <c:pt idx="99">
                  <c:v>2.1680716547247201</c:v>
                </c:pt>
                <c:pt idx="100">
                  <c:v>2.0206536479542394</c:v>
                </c:pt>
                <c:pt idx="101">
                  <c:v>1.8750390255974667</c:v>
                </c:pt>
                <c:pt idx="102">
                  <c:v>1.7312659973401565</c:v>
                </c:pt>
                <c:pt idx="103">
                  <c:v>1.5893719847114163</c:v>
                </c:pt>
                <c:pt idx="104">
                  <c:v>1.4493935076244986</c:v>
                </c:pt>
                <c:pt idx="105">
                  <c:v>1.3113660698847318</c:v>
                </c:pt>
                <c:pt idx="106">
                  <c:v>1.1753240443127075</c:v>
                </c:pt>
                <c:pt idx="107">
                  <c:v>1.0413005581653008</c:v>
                </c:pt>
                <c:pt idx="108">
                  <c:v>0.9093273795727691</c:v>
                </c:pt>
                <c:pt idx="109">
                  <c:v>0.77943480573409651</c:v>
                </c:pt>
                <c:pt idx="110">
                  <c:v>0.65165155363336902</c:v>
                </c:pt>
                <c:pt idx="111">
                  <c:v>0.52600465405022201</c:v>
                </c:pt>
                <c:pt idx="112">
                  <c:v>0.40251934963993607</c:v>
                </c:pt>
                <c:pt idx="113">
                  <c:v>0.28121899785227922</c:v>
                </c:pt>
                <c:pt idx="114">
                  <c:v>0.16212497944244375</c:v>
                </c:pt>
                <c:pt idx="115">
                  <c:v>4.5256613301576085E-2</c:v>
                </c:pt>
                <c:pt idx="116">
                  <c:v>-6.9368921700572378E-2</c:v>
                </c:pt>
                <c:pt idx="117">
                  <c:v>-0.18173665721305338</c:v>
                </c:pt>
                <c:pt idx="118">
                  <c:v>-0.29183389764635403</c:v>
                </c:pt>
                <c:pt idx="119">
                  <c:v>-0.39965027362840772</c:v>
                </c:pt>
                <c:pt idx="120">
                  <c:v>-0.50517778621120335</c:v>
                </c:pt>
                <c:pt idx="121">
                  <c:v>-0.60841084144200008</c:v>
                </c:pt>
                <c:pt idx="122">
                  <c:v>-0.70934627499639691</c:v>
                </c:pt>
                <c:pt idx="123">
                  <c:v>-0.80798336665582993</c:v>
                </c:pt>
                <c:pt idx="124">
                  <c:v>-0.90432384450524872</c:v>
                </c:pt>
                <c:pt idx="125">
                  <c:v>-0.99837187881576817</c:v>
                </c:pt>
                <c:pt idx="126">
                  <c:v>-1.0901340656729634</c:v>
                </c:pt>
                <c:pt idx="127">
                  <c:v>-1.1796194005014897</c:v>
                </c:pt>
                <c:pt idx="128">
                  <c:v>-1.2668392417276977</c:v>
                </c:pt>
                <c:pt idx="129">
                  <c:v>-1.351807264905923</c:v>
                </c:pt>
                <c:pt idx="130">
                  <c:v>-1.4345394077187308</c:v>
                </c:pt>
                <c:pt idx="131">
                  <c:v>-1.515053806332227</c:v>
                </c:pt>
                <c:pt idx="132">
                  <c:v>-1.5933707236591563</c:v>
                </c:pt>
                <c:pt idx="133">
                  <c:v>-1.6695124701388628</c:v>
                </c:pt>
                <c:pt idx="134">
                  <c:v>-1.7435033176984895</c:v>
                </c:pt>
                <c:pt idx="135">
                  <c:v>-1.8153694075981637</c:v>
                </c:pt>
                <c:pt idx="136">
                  <c:v>-1.885138652898001</c:v>
                </c:pt>
                <c:pt idx="137">
                  <c:v>-1.9528406363065529</c:v>
                </c:pt>
                <c:pt idx="138">
                  <c:v>-2.0185065041848462</c:v>
                </c:pt>
                <c:pt idx="139">
                  <c:v>-2.0821688574829125</c:v>
                </c:pt>
                <c:pt idx="140">
                  <c:v>-2.1438616403830748</c:v>
                </c:pt>
                <c:pt idx="141">
                  <c:v>-2.203620027409078</c:v>
                </c:pt>
                <c:pt idx="142">
                  <c:v>-2.2614803097396723</c:v>
                </c:pt>
                <c:pt idx="143">
                  <c:v>-2.317479781439518</c:v>
                </c:pt>
                <c:pt idx="144">
                  <c:v>-2.3716566262822356</c:v>
                </c:pt>
                <c:pt idx="145">
                  <c:v>-2.4240498058045152</c:v>
                </c:pt>
                <c:pt idx="146">
                  <c:v>-2.4746989491846509</c:v>
                </c:pt>
                <c:pt idx="147">
                  <c:v>-2.523644245491139</c:v>
                </c:pt>
                <c:pt idx="148">
                  <c:v>-2.5709263387977166</c:v>
                </c:pt>
                <c:pt idx="149">
                  <c:v>-2.6165862266094502</c:v>
                </c:pt>
                <c:pt idx="150">
                  <c:v>-2.660665161990833</c:v>
                </c:pt>
                <c:pt idx="151">
                  <c:v>-2.7032045597344725</c:v>
                </c:pt>
                <c:pt idx="152">
                  <c:v>-2.7442459068568805</c:v>
                </c:pt>
                <c:pt idx="153">
                  <c:v>-2.783830677655593</c:v>
                </c:pt>
                <c:pt idx="154">
                  <c:v>-2.8220002535136306</c:v>
                </c:pt>
                <c:pt idx="155">
                  <c:v>-2.8587958475893478</c:v>
                </c:pt>
                <c:pt idx="156">
                  <c:v>-2.8942584344837643</c:v>
                </c:pt>
                <c:pt idx="157">
                  <c:v>-2.9284286849390373</c:v>
                </c:pt>
                <c:pt idx="158">
                  <c:v>-2.9613469055782811</c:v>
                </c:pt>
                <c:pt idx="159">
                  <c:v>-2.9930529836662938</c:v>
                </c:pt>
                <c:pt idx="160">
                  <c:v>-3.0235863368353044</c:v>
                </c:pt>
                <c:pt idx="161">
                  <c:v>-3.0529858676927217</c:v>
                </c:pt>
                <c:pt idx="162">
                  <c:v>-3.0812899232026325</c:v>
                </c:pt>
                <c:pt idx="163">
                  <c:v>-3.1085362587109513</c:v>
                </c:pt>
                <c:pt idx="164">
                  <c:v>-3.1347620064651442</c:v>
                </c:pt>
                <c:pt idx="165">
                  <c:v>-3.1600036484648792</c:v>
                </c:pt>
                <c:pt idx="166">
                  <c:v>-3.1842969934662508</c:v>
                </c:pt>
                <c:pt idx="167">
                  <c:v>-3.2076771579539152</c:v>
                </c:pt>
                <c:pt idx="168">
                  <c:v>-3.2301785508873104</c:v>
                </c:pt>
                <c:pt idx="169">
                  <c:v>-3.2518348620223891</c:v>
                </c:pt>
                <c:pt idx="170">
                  <c:v>-3.272679053608897</c:v>
                </c:pt>
                <c:pt idx="171">
                  <c:v>-3.2927433552599212</c:v>
                </c:pt>
                <c:pt idx="172">
                  <c:v>-3.312059261795373</c:v>
                </c:pt>
                <c:pt idx="173">
                  <c:v>-3.3306575338589735</c:v>
                </c:pt>
                <c:pt idx="174">
                  <c:v>-3.3485682011165774</c:v>
                </c:pt>
                <c:pt idx="175">
                  <c:v>-3.365820567845045</c:v>
                </c:pt>
                <c:pt idx="176">
                  <c:v>-3.382443220729654</c:v>
                </c:pt>
                <c:pt idx="177">
                  <c:v>-3.3984640386925022</c:v>
                </c:pt>
                <c:pt idx="178">
                  <c:v>-3.4139102045833236</c:v>
                </c:pt>
                <c:pt idx="179">
                  <c:v>-3.4288082185709934</c:v>
                </c:pt>
                <c:pt idx="180">
                  <c:v>-3.4431839130825468</c:v>
                </c:pt>
                <c:pt idx="181">
                  <c:v>-3.4570624691449496</c:v>
                </c:pt>
                <c:pt idx="182">
                  <c:v>-3.4704684339937546</c:v>
                </c:pt>
                <c:pt idx="183">
                  <c:v>-3.4834257398198654</c:v>
                </c:pt>
                <c:pt idx="184">
                  <c:v>-3.4959577235370798</c:v>
                </c:pt>
                <c:pt idx="185">
                  <c:v>-3.5080871474580344</c:v>
                </c:pt>
                <c:pt idx="186">
                  <c:v>-3.5198362207778238</c:v>
                </c:pt>
                <c:pt idx="187">
                  <c:v>-3.5312266217696529</c:v>
                </c:pt>
                <c:pt idx="188">
                  <c:v>-3.5422795206077495</c:v>
                </c:pt>
                <c:pt idx="189">
                  <c:v>-3.5530156027370792</c:v>
                </c:pt>
                <c:pt idx="190">
                  <c:v>-3.5634550927196318</c:v>
                </c:pt>
                <c:pt idx="191">
                  <c:v>-3.5736177784918128</c:v>
                </c:pt>
                <c:pt idx="192">
                  <c:v>-3.5835230359751948</c:v>
                </c:pt>
                <c:pt idx="193">
                  <c:v>-3.5931898539881653</c:v>
                </c:pt>
                <c:pt idx="194">
                  <c:v>-3.6026368594127813</c:v>
                </c:pt>
                <c:pt idx="195">
                  <c:v>-3.6118823425758828</c:v>
                </c:pt>
                <c:pt idx="196">
                  <c:v>-3.6209442828083196</c:v>
                </c:pt>
                <c:pt idx="197">
                  <c:v>-3.6298403741516676</c:v>
                </c:pt>
                <c:pt idx="198">
                  <c:v>-3.6385880511851449</c:v>
                </c:pt>
                <c:pt idx="199">
                  <c:v>-3.6472045149499452</c:v>
                </c:pt>
                <c:pt idx="200">
                  <c:v>-3.655706758951081</c:v>
                </c:pt>
                <c:pt idx="201">
                  <c:v>-3.6641115952211396</c:v>
                </c:pt>
                <c:pt idx="202">
                  <c:v>-3.6724356804312173</c:v>
                </c:pt>
                <c:pt idx="203">
                  <c:v>-3.6806955420387033</c:v>
                </c:pt>
                <c:pt idx="204">
                  <c:v>-3.688907604462095</c:v>
                </c:pt>
                <c:pt idx="205">
                  <c:v>-3.6970882152759916</c:v>
                </c:pt>
                <c:pt idx="206">
                  <c:v>-3.7052536714190647</c:v>
                </c:pt>
                <c:pt idx="207">
                  <c:v>-3.7134202454110401</c:v>
                </c:pt>
                <c:pt idx="208">
                  <c:v>-3.7216042115734189</c:v>
                </c:pt>
                <c:pt idx="209">
                  <c:v>-3.729821872249548</c:v>
                </c:pt>
                <c:pt idx="210">
                  <c:v>-3.7380895840209174</c:v>
                </c:pt>
                <c:pt idx="211">
                  <c:v>-3.7464237839135506</c:v>
                </c:pt>
                <c:pt idx="212">
                  <c:v>-3.7548410155906238</c:v>
                </c:pt>
                <c:pt idx="213">
                  <c:v>-3.7633579555241976</c:v>
                </c:pt>
                <c:pt idx="214">
                  <c:v>-3.7719914391382261</c:v>
                </c:pt>
                <c:pt idx="215">
                  <c:v>-3.7807584869139936</c:v>
                </c:pt>
                <c:pt idx="216">
                  <c:v>-3.7896763304461469</c:v>
                </c:pt>
                <c:pt idx="217">
                  <c:v>-3.7987624384348111</c:v>
                </c:pt>
                <c:pt idx="218">
                  <c:v>-3.8080345425979552</c:v>
                </c:pt>
                <c:pt idx="219">
                  <c:v>-3.8175106634831395</c:v>
                </c:pt>
                <c:pt idx="220">
                  <c:v>-3.8272091361556559</c:v>
                </c:pt>
                <c:pt idx="221">
                  <c:v>-3.8371486357351885</c:v>
                </c:pt>
                <c:pt idx="222">
                  <c:v>-3.8473482027498678</c:v>
                </c:pt>
                <c:pt idx="223">
                  <c:v>-3.8578272682702579</c:v>
                </c:pt>
                <c:pt idx="224">
                  <c:v>-3.8686056787830099</c:v>
                </c:pt>
                <c:pt idx="225">
                  <c:v>-3.8797037207558294</c:v>
                </c:pt>
                <c:pt idx="226">
                  <c:v>-3.8911421448421972</c:v>
                </c:pt>
                <c:pt idx="227">
                  <c:v>-3.9029421896658079</c:v>
                </c:pt>
                <c:pt idx="228">
                  <c:v>-3.9151256051205623</c:v>
                </c:pt>
                <c:pt idx="229">
                  <c:v>-3.927714675110491</c:v>
                </c:pt>
                <c:pt idx="230">
                  <c:v>-3.9407322396542765</c:v>
                </c:pt>
                <c:pt idx="231">
                  <c:v>-3.9542017162628036</c:v>
                </c:pt>
                <c:pt idx="232">
                  <c:v>-3.9681471204973118</c:v>
                </c:pt>
                <c:pt idx="233">
                  <c:v>-3.9825930856022644</c:v>
                </c:pt>
                <c:pt idx="234">
                  <c:v>-3.9975648811040876</c:v>
                </c:pt>
                <c:pt idx="235">
                  <c:v>-4.013088430252842</c:v>
                </c:pt>
                <c:pt idx="236">
                  <c:v>-4.0291903261796218</c:v>
                </c:pt>
                <c:pt idx="237">
                  <c:v>-4.0458978466317834</c:v>
                </c:pt>
                <c:pt idx="238">
                  <c:v>-4.0632389671399425</c:v>
                </c:pt>
                <c:pt idx="239">
                  <c:v>-4.0812423724624836</c:v>
                </c:pt>
                <c:pt idx="240">
                  <c:v>-4.0999374661454402</c:v>
                </c:pt>
                <c:pt idx="241">
                  <c:v>-4.119354378026677</c:v>
                </c:pt>
                <c:pt idx="242">
                  <c:v>-4.1395239695072599</c:v>
                </c:pt>
                <c:pt idx="243">
                  <c:v>-4.1604778364065211</c:v>
                </c:pt>
                <c:pt idx="244">
                  <c:v>-4.1822483092096627</c:v>
                </c:pt>
                <c:pt idx="245">
                  <c:v>-4.2048684505139056</c:v>
                </c:pt>
                <c:pt idx="246">
                  <c:v>-4.2283720494745358</c:v>
                </c:pt>
                <c:pt idx="247">
                  <c:v>-4.252793613049934</c:v>
                </c:pt>
                <c:pt idx="248">
                  <c:v>-4.2781683538439639</c:v>
                </c:pt>
                <c:pt idx="249">
                  <c:v>-4.3045321743452014</c:v>
                </c:pt>
                <c:pt idx="250">
                  <c:v>-4.3319216473651334</c:v>
                </c:pt>
                <c:pt idx="251">
                  <c:v>-4.3603739924824163</c:v>
                </c:pt>
                <c:pt idx="252">
                  <c:v>-4.3899270483086568</c:v>
                </c:pt>
                <c:pt idx="253">
                  <c:v>-4.4206192403998816</c:v>
                </c:pt>
                <c:pt idx="254">
                  <c:v>-4.4524895446518507</c:v>
                </c:pt>
                <c:pt idx="255">
                  <c:v>-4.4855774460330036</c:v>
                </c:pt>
                <c:pt idx="256">
                  <c:v>-4.5199228925270702</c:v>
                </c:pt>
                <c:pt idx="257">
                  <c:v>-4.555566244181172</c:v>
                </c:pt>
                <c:pt idx="258">
                  <c:v>-4.5925482171784324</c:v>
                </c:pt>
                <c:pt idx="259">
                  <c:v>-4.6309098228863927</c:v>
                </c:pt>
                <c:pt idx="260">
                  <c:v>-4.6706923018617319</c:v>
                </c:pt>
                <c:pt idx="261">
                  <c:v>-4.7119370528305202</c:v>
                </c:pt>
                <c:pt idx="262">
                  <c:v>-4.754685556699572</c:v>
                </c:pt>
                <c:pt idx="263">
                  <c:v>-4.7989792956991746</c:v>
                </c:pt>
                <c:pt idx="264">
                  <c:v>-4.8448596678019022</c:v>
                </c:pt>
                <c:pt idx="265">
                  <c:v>-4.8923678966083717</c:v>
                </c:pt>
                <c:pt idx="266">
                  <c:v>-4.9415449369424973</c:v>
                </c:pt>
                <c:pt idx="267">
                  <c:v>-4.9924313764497903</c:v>
                </c:pt>
                <c:pt idx="268">
                  <c:v>-5.0450673335438907</c:v>
                </c:pt>
                <c:pt idx="269">
                  <c:v>-5.0994923521001256</c:v>
                </c:pt>
                <c:pt idx="270">
                  <c:v>-5.155745293348196</c:v>
                </c:pt>
                <c:pt idx="271">
                  <c:v>-5.2138642254662422</c:v>
                </c:pt>
                <c:pt idx="272">
                  <c:v>-5.2738863114295569</c:v>
                </c:pt>
                <c:pt idx="273">
                  <c:v>-5.3358476957137748</c:v>
                </c:pt>
                <c:pt idx="274">
                  <c:v>-5.3997833904959727</c:v>
                </c:pt>
                <c:pt idx="275">
                  <c:v>-5.4657271620348089</c:v>
                </c:pt>
                <c:pt idx="276">
                  <c:v>-5.5337114179461722</c:v>
                </c:pt>
                <c:pt idx="277">
                  <c:v>-5.6037670961160284</c:v>
                </c:pt>
                <c:pt idx="278">
                  <c:v>-5.6759235560127772</c:v>
                </c:pt>
                <c:pt idx="279">
                  <c:v>-5.7502084731731582</c:v>
                </c:pt>
                <c:pt idx="280">
                  <c:v>-5.8266477376400205</c:v>
                </c:pt>
                <c:pt idx="281">
                  <c:v>-5.9052653571235503</c:v>
                </c:pt>
                <c:pt idx="282">
                  <c:v>-5.9860833656440615</c:v>
                </c:pt>
                <c:pt idx="283">
                  <c:v>-6.069121738388934</c:v>
                </c:pt>
                <c:pt idx="284">
                  <c:v>-6.1543983134834335</c:v>
                </c:pt>
                <c:pt idx="285">
                  <c:v>-6.2419287213301944</c:v>
                </c:pt>
                <c:pt idx="286">
                  <c:v>-6.3317263221219102</c:v>
                </c:pt>
                <c:pt idx="287">
                  <c:v>-6.4238021520678599</c:v>
                </c:pt>
                <c:pt idx="288">
                  <c:v>-6.518164878809289</c:v>
                </c:pt>
                <c:pt idx="289">
                  <c:v>-6.6148207664188474</c:v>
                </c:pt>
                <c:pt idx="290">
                  <c:v>-6.7137736503020484</c:v>
                </c:pt>
                <c:pt idx="291">
                  <c:v>-6.8150249222272175</c:v>
                </c:pt>
                <c:pt idx="292">
                  <c:v>-6.9185735256247227</c:v>
                </c:pt>
                <c:pt idx="293">
                  <c:v>-7.0244159612009636</c:v>
                </c:pt>
                <c:pt idx="294">
                  <c:v>-7.1325463028213338</c:v>
                </c:pt>
                <c:pt idx="295">
                  <c:v>-7.2429562235234801</c:v>
                </c:pt>
                <c:pt idx="296">
                  <c:v>-7.355635031432799</c:v>
                </c:pt>
                <c:pt idx="297">
                  <c:v>-7.4705697152645021</c:v>
                </c:pt>
                <c:pt idx="298">
                  <c:v>-7.5877449990163601</c:v>
                </c:pt>
                <c:pt idx="299">
                  <c:v>-7.7071434053786181</c:v>
                </c:pt>
                <c:pt idx="300">
                  <c:v>-7.8287453273207035</c:v>
                </c:pt>
                <c:pt idx="301">
                  <c:v>-7.9525291072514115</c:v>
                </c:pt>
                <c:pt idx="302">
                  <c:v>-8.07847112309903</c:v>
                </c:pt>
                <c:pt idx="303">
                  <c:v>-8.206545880612536</c:v>
                </c:pt>
                <c:pt idx="304">
                  <c:v>-8.336726111152867</c:v>
                </c:pt>
                <c:pt idx="305">
                  <c:v>-8.4689828742177919</c:v>
                </c:pt>
                <c:pt idx="306">
                  <c:v>-8.6032856639302029</c:v>
                </c:pt>
                <c:pt idx="307">
                  <c:v>-8.7396025187140083</c:v>
                </c:pt>
                <c:pt idx="308">
                  <c:v>-8.8779001333849052</c:v>
                </c:pt>
                <c:pt idx="309">
                  <c:v>-9.0181439728967376</c:v>
                </c:pt>
                <c:pt idx="310">
                  <c:v>-9.1602983870030759</c:v>
                </c:pt>
                <c:pt idx="311">
                  <c:v>-9.3043267251209851</c:v>
                </c:pt>
                <c:pt idx="312">
                  <c:v>-9.4501914507183198</c:v>
                </c:pt>
                <c:pt idx="313">
                  <c:v>-9.597854254583476</c:v>
                </c:pt>
                <c:pt idx="314">
                  <c:v>-9.747276166380944</c:v>
                </c:pt>
                <c:pt idx="315">
                  <c:v>-9.8984176639426948</c:v>
                </c:pt>
                <c:pt idx="316">
                  <c:v>-10.051238779795465</c:v>
                </c:pt>
                <c:pt idx="317">
                  <c:v>-10.2056992044762</c:v>
                </c:pt>
                <c:pt idx="318">
                  <c:v>-10.361758386238938</c:v>
                </c:pt>
                <c:pt idx="319">
                  <c:v>-10.519375626812401</c:v>
                </c:pt>
                <c:pt idx="320">
                  <c:v>-10.6785101729176</c:v>
                </c:pt>
                <c:pt idx="321">
                  <c:v>-10.839121303306559</c:v>
                </c:pt>
                <c:pt idx="322">
                  <c:v>-11.001168411135374</c:v>
                </c:pt>
                <c:pt idx="323">
                  <c:v>-11.164611081529827</c:v>
                </c:pt>
                <c:pt idx="324">
                  <c:v>-11.329409164247696</c:v>
                </c:pt>
                <c:pt idx="325">
                  <c:v>-11.495522841385625</c:v>
                </c:pt>
                <c:pt idx="326">
                  <c:v>-11.662912690116563</c:v>
                </c:pt>
                <c:pt idx="327">
                  <c:v>-11.831539740478011</c:v>
                </c:pt>
                <c:pt idx="328">
                  <c:v>-12.001365528268774</c:v>
                </c:pt>
                <c:pt idx="329">
                  <c:v>-12.172352143133978</c:v>
                </c:pt>
                <c:pt idx="330">
                  <c:v>-12.344462271952034</c:v>
                </c:pt>
                <c:pt idx="331">
                  <c:v>-12.51765923765138</c:v>
                </c:pt>
                <c:pt idx="332">
                  <c:v>-12.69190703361086</c:v>
                </c:pt>
                <c:pt idx="333">
                  <c:v>-12.867170353808124</c:v>
                </c:pt>
                <c:pt idx="334">
                  <c:v>-13.043414618898536</c:v>
                </c:pt>
                <c:pt idx="335">
                  <c:v>-13.220605998411372</c:v>
                </c:pt>
                <c:pt idx="336">
                  <c:v>-13.398711429264171</c:v>
                </c:pt>
                <c:pt idx="337">
                  <c:v>-13.577698630795403</c:v>
                </c:pt>
                <c:pt idx="338">
                  <c:v>-13.757536116523202</c:v>
                </c:pt>
                <c:pt idx="339">
                  <c:v>-13.938193202836251</c:v>
                </c:pt>
                <c:pt idx="340">
                  <c:v>-14.119640014823327</c:v>
                </c:pt>
                <c:pt idx="341">
                  <c:v>-14.301847489446011</c:v>
                </c:pt>
                <c:pt idx="342">
                  <c:v>-14.484787376254225</c:v>
                </c:pt>
                <c:pt idx="343">
                  <c:v>-14.668432235842291</c:v>
                </c:pt>
                <c:pt idx="344">
                  <c:v>-14.852755436233858</c:v>
                </c:pt>
                <c:pt idx="345">
                  <c:v>-15.03773114738118</c:v>
                </c:pt>
                <c:pt idx="346">
                  <c:v>-15.223334333954764</c:v>
                </c:pt>
                <c:pt idx="347">
                  <c:v>-15.409540746592311</c:v>
                </c:pt>
                <c:pt idx="348">
                  <c:v>-15.596326911768799</c:v>
                </c:pt>
                <c:pt idx="349">
                  <c:v>-15.783670120441</c:v>
                </c:pt>
                <c:pt idx="350">
                  <c:v>-15.971548415609739</c:v>
                </c:pt>
                <c:pt idx="351">
                  <c:v>-16.159940578937281</c:v>
                </c:pt>
                <c:pt idx="352">
                  <c:v>-16.348826116547038</c:v>
                </c:pt>
                <c:pt idx="353">
                  <c:v>-16.538185244125302</c:v>
                </c:pt>
                <c:pt idx="354">
                  <c:v>-16.72799887143572</c:v>
                </c:pt>
                <c:pt idx="355">
                  <c:v>-16.91824858635065</c:v>
                </c:pt>
                <c:pt idx="356">
                  <c:v>-17.108916638492722</c:v>
                </c:pt>
                <c:pt idx="357">
                  <c:v>-17.299985922578166</c:v>
                </c:pt>
                <c:pt idx="358">
                  <c:v>-17.491439961538251</c:v>
                </c:pt>
                <c:pt idx="359">
                  <c:v>-17.683262889495953</c:v>
                </c:pt>
                <c:pt idx="360">
                  <c:v>-17.875439434664052</c:v>
                </c:pt>
                <c:pt idx="361">
                  <c:v>-18.067954902224276</c:v>
                </c:pt>
                <c:pt idx="362">
                  <c:v>-18.260795157245116</c:v>
                </c:pt>
                <c:pt idx="363">
                  <c:v>-18.453946607686188</c:v>
                </c:pt>
                <c:pt idx="364">
                  <c:v>-18.647396187532934</c:v>
                </c:pt>
                <c:pt idx="365">
                  <c:v>-18.841131340102773</c:v>
                </c:pt>
                <c:pt idx="366">
                  <c:v>-19.035140001556744</c:v>
                </c:pt>
                <c:pt idx="367">
                  <c:v>-19.229410584646772</c:v>
                </c:pt>
                <c:pt idx="368">
                  <c:v>-19.423931962725622</c:v>
                </c:pt>
                <c:pt idx="369">
                  <c:v>-19.61869345404325</c:v>
                </c:pt>
                <c:pt idx="370">
                  <c:v>-19.813684806348004</c:v>
                </c:pt>
                <c:pt idx="371">
                  <c:v>-20.008896181810513</c:v>
                </c:pt>
                <c:pt idx="372">
                  <c:v>-20.20431814228262</c:v>
                </c:pt>
                <c:pt idx="373">
                  <c:v>-20.399941634904412</c:v>
                </c:pt>
                <c:pt idx="374">
                  <c:v>-20.595757978066178</c:v>
                </c:pt>
                <c:pt idx="375">
                  <c:v>-20.791758847733384</c:v>
                </c:pt>
                <c:pt idx="376">
                  <c:v>-20.987936264139115</c:v>
                </c:pt>
                <c:pt idx="377">
                  <c:v>-21.184282578846055</c:v>
                </c:pt>
                <c:pt idx="378">
                  <c:v>-21.380790462181395</c:v>
                </c:pt>
                <c:pt idx="379">
                  <c:v>-21.577452891042167</c:v>
                </c:pt>
                <c:pt idx="380">
                  <c:v>-21.774263137072282</c:v>
                </c:pt>
                <c:pt idx="381">
                  <c:v>-21.971214755206503</c:v>
                </c:pt>
                <c:pt idx="382">
                  <c:v>-22.168301572580418</c:v>
                </c:pt>
                <c:pt idx="383">
                  <c:v>-22.365517677799957</c:v>
                </c:pt>
                <c:pt idx="384">
                  <c:v>-22.562857410567272</c:v>
                </c:pt>
                <c:pt idx="385">
                  <c:v>-22.760315351656185</c:v>
                </c:pt>
                <c:pt idx="386">
                  <c:v>-22.957886313231608</c:v>
                </c:pt>
                <c:pt idx="387">
                  <c:v>-23.155565329506178</c:v>
                </c:pt>
                <c:pt idx="388">
                  <c:v>-23.353347647726785</c:v>
                </c:pt>
                <c:pt idx="389">
                  <c:v>-23.551228719484296</c:v>
                </c:pt>
                <c:pt idx="390">
                  <c:v>-23.749204192337778</c:v>
                </c:pt>
                <c:pt idx="391">
                  <c:v>-23.947269901746353</c:v>
                </c:pt>
                <c:pt idx="392">
                  <c:v>-24.1454218633002</c:v>
                </c:pt>
                <c:pt idx="393">
                  <c:v>-24.343656265242476</c:v>
                </c:pt>
                <c:pt idx="394">
                  <c:v>-24.541969461274491</c:v>
                </c:pt>
                <c:pt idx="395">
                  <c:v>-24.740357963635017</c:v>
                </c:pt>
                <c:pt idx="396">
                  <c:v>-24.938818436446528</c:v>
                </c:pt>
                <c:pt idx="397">
                  <c:v>-25.137347689319625</c:v>
                </c:pt>
                <c:pt idx="398">
                  <c:v>-25.335942671207064</c:v>
                </c:pt>
                <c:pt idx="399">
                  <c:v>-25.534600464500702</c:v>
                </c:pt>
                <c:pt idx="400">
                  <c:v>-25.733318279361907</c:v>
                </c:pt>
                <c:pt idx="401">
                  <c:v>-25.93209344827811</c:v>
                </c:pt>
                <c:pt idx="402">
                  <c:v>-26.130923420838393</c:v>
                </c:pt>
                <c:pt idx="403">
                  <c:v>-26.329805758719559</c:v>
                </c:pt>
                <c:pt idx="404">
                  <c:v>-26.528738130876029</c:v>
                </c:pt>
                <c:pt idx="405">
                  <c:v>-26.727718308925951</c:v>
                </c:pt>
                <c:pt idx="406">
                  <c:v>-26.926744162725925</c:v>
                </c:pt>
                <c:pt idx="407">
                  <c:v>-27.125813656128681</c:v>
                </c:pt>
                <c:pt idx="408">
                  <c:v>-27.324924842915991</c:v>
                </c:pt>
                <c:pt idx="409">
                  <c:v>-27.524075862900162</c:v>
                </c:pt>
                <c:pt idx="410">
                  <c:v>-27.72326493818823</c:v>
                </c:pt>
                <c:pt idx="411">
                  <c:v>-27.922490369602873</c:v>
                </c:pt>
                <c:pt idx="412">
                  <c:v>-28.121750533253049</c:v>
                </c:pt>
                <c:pt idx="413">
                  <c:v>-28.321043877249462</c:v>
                </c:pt>
                <c:pt idx="414">
                  <c:v>-28.520368918558102</c:v>
                </c:pt>
                <c:pt idx="415">
                  <c:v>-28.719724239988906</c:v>
                </c:pt>
                <c:pt idx="416">
                  <c:v>-28.919108487310034</c:v>
                </c:pt>
                <c:pt idx="417">
                  <c:v>-29.11852036648737</c:v>
                </c:pt>
                <c:pt idx="418">
                  <c:v>-29.317958641040491</c:v>
                </c:pt>
                <c:pt idx="419">
                  <c:v>-29.517422129512326</c:v>
                </c:pt>
                <c:pt idx="420">
                  <c:v>-29.716909703048135</c:v>
                </c:pt>
                <c:pt idx="421">
                  <c:v>-29.9164202830774</c:v>
                </c:pt>
                <c:pt idx="422">
                  <c:v>-30.115952839096821</c:v>
                </c:pt>
                <c:pt idx="423">
                  <c:v>-30.315506386548535</c:v>
                </c:pt>
                <c:pt idx="424">
                  <c:v>-30.515079984790248</c:v>
                </c:pt>
                <c:pt idx="425">
                  <c:v>-30.714672735153329</c:v>
                </c:pt>
                <c:pt idx="426">
                  <c:v>-30.914283779085817</c:v>
                </c:pt>
                <c:pt idx="427">
                  <c:v>-31.113912296375176</c:v>
                </c:pt>
                <c:pt idx="428">
                  <c:v>-31.31355750345007</c:v>
                </c:pt>
                <c:pt idx="429">
                  <c:v>-31.513218651754219</c:v>
                </c:pt>
                <c:pt idx="430">
                  <c:v>-31.71289502619317</c:v>
                </c:pt>
                <c:pt idx="431">
                  <c:v>-31.91258594364853</c:v>
                </c:pt>
                <c:pt idx="432">
                  <c:v>-32.112290751556287</c:v>
                </c:pt>
                <c:pt idx="433">
                  <c:v>-32.312008826549089</c:v>
                </c:pt>
                <c:pt idx="434">
                  <c:v>-32.511739573157229</c:v>
                </c:pt>
                <c:pt idx="435">
                  <c:v>-32.711482422566633</c:v>
                </c:pt>
                <c:pt idx="436">
                  <c:v>-32.911236831432234</c:v>
                </c:pt>
                <c:pt idx="437">
                  <c:v>-33.11100228074325</c:v>
                </c:pt>
                <c:pt idx="438">
                  <c:v>-33.310778274738205</c:v>
                </c:pt>
                <c:pt idx="439">
                  <c:v>-33.51056433986858</c:v>
                </c:pt>
                <c:pt idx="440">
                  <c:v>-33.710360023807297</c:v>
                </c:pt>
                <c:pt idx="441">
                  <c:v>-33.91016489450255</c:v>
                </c:pt>
                <c:pt idx="442">
                  <c:v>-34.109978539271474</c:v>
                </c:pt>
                <c:pt idx="443">
                  <c:v>-34.30980056393598</c:v>
                </c:pt>
                <c:pt idx="444">
                  <c:v>-34.509630591995304</c:v>
                </c:pt>
                <c:pt idx="445">
                  <c:v>-34.709468263836627</c:v>
                </c:pt>
                <c:pt idx="446">
                  <c:v>-34.909313235979496</c:v>
                </c:pt>
                <c:pt idx="447">
                  <c:v>-35.109165180354779</c:v>
                </c:pt>
                <c:pt idx="448">
                  <c:v>-35.309023783614812</c:v>
                </c:pt>
                <c:pt idx="449">
                  <c:v>-35.50888874647508</c:v>
                </c:pt>
                <c:pt idx="450">
                  <c:v>-35.70875978308478</c:v>
                </c:pt>
                <c:pt idx="451">
                  <c:v>-35.908636620425092</c:v>
                </c:pt>
                <c:pt idx="452">
                  <c:v>-36.108518997734748</c:v>
                </c:pt>
                <c:pt idx="453">
                  <c:v>-36.308406665961087</c:v>
                </c:pt>
                <c:pt idx="454">
                  <c:v>-36.508299387235226</c:v>
                </c:pt>
                <c:pt idx="455">
                  <c:v>-36.708196934371571</c:v>
                </c:pt>
                <c:pt idx="456">
                  <c:v>-36.908099090387971</c:v>
                </c:pt>
                <c:pt idx="457">
                  <c:v>-37.10800564804957</c:v>
                </c:pt>
                <c:pt idx="458">
                  <c:v>-37.307916409430668</c:v>
                </c:pt>
                <c:pt idx="459">
                  <c:v>-37.507831185497913</c:v>
                </c:pt>
                <c:pt idx="460">
                  <c:v>-37.707749795711493</c:v>
                </c:pt>
                <c:pt idx="461">
                  <c:v>-37.907672067643752</c:v>
                </c:pt>
                <c:pt idx="462">
                  <c:v>-38.107597836615533</c:v>
                </c:pt>
                <c:pt idx="463">
                  <c:v>-38.307526945348421</c:v>
                </c:pt>
                <c:pt idx="464">
                  <c:v>-38.507459243632823</c:v>
                </c:pt>
                <c:pt idx="465">
                  <c:v>-38.707394588010153</c:v>
                </c:pt>
                <c:pt idx="466">
                  <c:v>-38.907332841470648</c:v>
                </c:pt>
                <c:pt idx="467">
                  <c:v>-39.107273873162882</c:v>
                </c:pt>
                <c:pt idx="468">
                  <c:v>-39.307217558118111</c:v>
                </c:pt>
                <c:pt idx="469">
                  <c:v>-39.507163776985628</c:v>
                </c:pt>
                <c:pt idx="470">
                  <c:v>-39.707112415780529</c:v>
                </c:pt>
                <c:pt idx="471">
                  <c:v>-39.907063365642941</c:v>
                </c:pt>
                <c:pt idx="472">
                  <c:v>-40.107016522607559</c:v>
                </c:pt>
                <c:pt idx="473">
                  <c:v>-40.306971787384029</c:v>
                </c:pt>
                <c:pt idx="474">
                  <c:v>-40.50692906514675</c:v>
                </c:pt>
                <c:pt idx="475">
                  <c:v>-40.706888265334115</c:v>
                </c:pt>
                <c:pt idx="476">
                  <c:v>-40.906849301457513</c:v>
                </c:pt>
                <c:pt idx="477">
                  <c:v>-41.106812090917586</c:v>
                </c:pt>
                <c:pt idx="478">
                  <c:v>-41.306776554829916</c:v>
                </c:pt>
                <c:pt idx="479">
                  <c:v>-41.506742617857981</c:v>
                </c:pt>
                <c:pt idx="480">
                  <c:v>-41.706710208053664</c:v>
                </c:pt>
                <c:pt idx="481">
                  <c:v>-41.906679256704827</c:v>
                </c:pt>
                <c:pt idx="482">
                  <c:v>-42.106649698190083</c:v>
                </c:pt>
                <c:pt idx="483">
                  <c:v>-42.306621469839627</c:v>
                </c:pt>
                <c:pt idx="484">
                  <c:v>-42.506594511802874</c:v>
                </c:pt>
                <c:pt idx="485">
                  <c:v>-42.706568766921258</c:v>
                </c:pt>
                <c:pt idx="486">
                  <c:v>-42.906544180607604</c:v>
                </c:pt>
                <c:pt idx="487">
                  <c:v>-43.106520700730286</c:v>
                </c:pt>
                <c:pt idx="488">
                  <c:v>-43.306498277502925</c:v>
                </c:pt>
                <c:pt idx="489">
                  <c:v>-43.506476863378879</c:v>
                </c:pt>
                <c:pt idx="490">
                  <c:v>-43.706456412950487</c:v>
                </c:pt>
                <c:pt idx="491">
                  <c:v>-43.90643688285305</c:v>
                </c:pt>
                <c:pt idx="492">
                  <c:v>-44.106418231672713</c:v>
                </c:pt>
                <c:pt idx="493">
                  <c:v>-44.306400419858974</c:v>
                </c:pt>
                <c:pt idx="494">
                  <c:v>-44.50638340964062</c:v>
                </c:pt>
                <c:pt idx="495">
                  <c:v>-44.706367164945988</c:v>
                </c:pt>
                <c:pt idx="496">
                  <c:v>-44.906351651326332</c:v>
                </c:pt>
                <c:pt idx="497">
                  <c:v>-45.106336835882715</c:v>
                </c:pt>
                <c:pt idx="498">
                  <c:v>-45.306322687196683</c:v>
                </c:pt>
                <c:pt idx="499">
                  <c:v>-45.506309175263326</c:v>
                </c:pt>
                <c:pt idx="500">
                  <c:v>-45.706296271427966</c:v>
                </c:pt>
                <c:pt idx="501">
                  <c:v>-45.906283948324997</c:v>
                </c:pt>
                <c:pt idx="502">
                  <c:v>-46.106272179820394</c:v>
                </c:pt>
                <c:pt idx="503">
                  <c:v>-46.306260940955895</c:v>
                </c:pt>
                <c:pt idx="504">
                  <c:v>-46.506250207896464</c:v>
                </c:pt>
                <c:pt idx="505">
                  <c:v>-46.706239957879518</c:v>
                </c:pt>
                <c:pt idx="506">
                  <c:v>-46.906230169166676</c:v>
                </c:pt>
                <c:pt idx="507">
                  <c:v>-47.106220820997962</c:v>
                </c:pt>
                <c:pt idx="508">
                  <c:v>-47.306211893547207</c:v>
                </c:pt>
                <c:pt idx="509">
                  <c:v>-47.506203367880872</c:v>
                </c:pt>
                <c:pt idx="510">
                  <c:v>-47.706195225917085</c:v>
                </c:pt>
                <c:pt idx="511">
                  <c:v>-47.906187450387819</c:v>
                </c:pt>
                <c:pt idx="512">
                  <c:v>-48.106180024801958</c:v>
                </c:pt>
                <c:pt idx="513">
                  <c:v>-48.30617293341065</c:v>
                </c:pt>
                <c:pt idx="514">
                  <c:v>-48.506166161173709</c:v>
                </c:pt>
                <c:pt idx="515">
                  <c:v>-48.706159693727749</c:v>
                </c:pt>
                <c:pt idx="516">
                  <c:v>-48.906153517355847</c:v>
                </c:pt>
                <c:pt idx="517">
                  <c:v>-49.106147618958296</c:v>
                </c:pt>
                <c:pt idx="518">
                  <c:v>-49.306141986024876</c:v>
                </c:pt>
                <c:pt idx="519">
                  <c:v>-49.506136606608251</c:v>
                </c:pt>
                <c:pt idx="520">
                  <c:v>-49.706131469299216</c:v>
                </c:pt>
                <c:pt idx="521">
                  <c:v>-49.906126563201418</c:v>
                </c:pt>
                <c:pt idx="522">
                  <c:v>-50.106121877909253</c:v>
                </c:pt>
                <c:pt idx="523">
                  <c:v>-50.306117403485125</c:v>
                </c:pt>
                <c:pt idx="524">
                  <c:v>-50.506113130439104</c:v>
                </c:pt>
                <c:pt idx="525">
                  <c:v>-50.706109049707813</c:v>
                </c:pt>
                <c:pt idx="526">
                  <c:v>-50.906105152636172</c:v>
                </c:pt>
                <c:pt idx="527">
                  <c:v>-51.106101430958276</c:v>
                </c:pt>
                <c:pt idx="528">
                  <c:v>-51.306097876780626</c:v>
                </c:pt>
                <c:pt idx="529">
                  <c:v>-51.506094482564571</c:v>
                </c:pt>
                <c:pt idx="530">
                  <c:v>-51.706091241110826</c:v>
                </c:pt>
                <c:pt idx="531">
                  <c:v>-51.906088145544359</c:v>
                </c:pt>
                <c:pt idx="532">
                  <c:v>-52.106085189299222</c:v>
                </c:pt>
                <c:pt idx="533">
                  <c:v>-52.306082366105215</c:v>
                </c:pt>
                <c:pt idx="534">
                  <c:v>-52.506079669974078</c:v>
                </c:pt>
                <c:pt idx="535">
                  <c:v>-52.706077095187325</c:v>
                </c:pt>
                <c:pt idx="536">
                  <c:v>-52.906074636283648</c:v>
                </c:pt>
                <c:pt idx="537">
                  <c:v>-53.106072288047557</c:v>
                </c:pt>
                <c:pt idx="538">
                  <c:v>-53.306070045498331</c:v>
                </c:pt>
                <c:pt idx="539">
                  <c:v>-53.506067903879327</c:v>
                </c:pt>
                <c:pt idx="540">
                  <c:v>-53.706065858648017</c:v>
                </c:pt>
                <c:pt idx="541">
                  <c:v>-53.906063905466496</c:v>
                </c:pt>
              </c:numCache>
            </c:numRef>
          </c:yVal>
          <c:smooth val="1"/>
          <c:extLst>
            <c:ext xmlns:c16="http://schemas.microsoft.com/office/drawing/2014/chart" uri="{C3380CC4-5D6E-409C-BE32-E72D297353CC}">
              <c16:uniqueId val="{00000000-739C-45D3-85A0-6F864EF09A5E}"/>
            </c:ext>
          </c:extLst>
        </c:ser>
        <c:dLbls>
          <c:showLegendKey val="0"/>
          <c:showVal val="0"/>
          <c:showCatName val="0"/>
          <c:showSerName val="0"/>
          <c:showPercent val="0"/>
          <c:showBubbleSize val="0"/>
        </c:dLbls>
        <c:axId val="555280640"/>
        <c:axId val="365437312"/>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Loop_Modeling!$BH$19:$BH$560</c:f>
              <c:numCache>
                <c:formatCode>General</c:formatCode>
                <c:ptCount val="542"/>
                <c:pt idx="0">
                  <c:v>93.386474351993783</c:v>
                </c:pt>
                <c:pt idx="1">
                  <c:v>93.465153050050901</c:v>
                </c:pt>
                <c:pt idx="2">
                  <c:v>93.545649978963482</c:v>
                </c:pt>
                <c:pt idx="3">
                  <c:v>93.628006464197128</c:v>
                </c:pt>
                <c:pt idx="4">
                  <c:v>93.712264721065949</c:v>
                </c:pt>
                <c:pt idx="5">
                  <c:v>93.798467870338712</c:v>
                </c:pt>
                <c:pt idx="6">
                  <c:v>93.886659953852416</c:v>
                </c:pt>
                <c:pt idx="7">
                  <c:v>93.976885950108453</c:v>
                </c:pt>
                <c:pt idx="8">
                  <c:v>94.069191789825879</c:v>
                </c:pt>
                <c:pt idx="9">
                  <c:v>94.163624371422401</c:v>
                </c:pt>
                <c:pt idx="10">
                  <c:v>94.260231576392599</c:v>
                </c:pt>
                <c:pt idx="11">
                  <c:v>94.359062284549623</c:v>
                </c:pt>
                <c:pt idx="12">
                  <c:v>94.460166389093331</c:v>
                </c:pt>
                <c:pt idx="13">
                  <c:v>94.563594811466217</c:v>
                </c:pt>
                <c:pt idx="14">
                  <c:v>94.669399515953828</c:v>
                </c:pt>
                <c:pt idx="15">
                  <c:v>94.777633523983738</c:v>
                </c:pt>
                <c:pt idx="16">
                  <c:v>94.88835092807399</c:v>
                </c:pt>
                <c:pt idx="17">
                  <c:v>95.001606905376548</c:v>
                </c:pt>
                <c:pt idx="18">
                  <c:v>95.117457730759213</c:v>
                </c:pt>
                <c:pt idx="19">
                  <c:v>95.235960789363745</c:v>
                </c:pt>
                <c:pt idx="20">
                  <c:v>95.357174588573614</c:v>
                </c:pt>
                <c:pt idx="21">
                  <c:v>95.481158769320956</c:v>
                </c:pt>
                <c:pt idx="22">
                  <c:v>95.607974116655129</c:v>
                </c:pt>
                <c:pt idx="23">
                  <c:v>95.737682569493188</c:v>
                </c:pt>
                <c:pt idx="24">
                  <c:v>95.870347229462226</c:v>
                </c:pt>
                <c:pt idx="25">
                  <c:v>96.006032368743433</c:v>
                </c:pt>
                <c:pt idx="26">
                  <c:v>96.144803436814499</c:v>
                </c:pt>
                <c:pt idx="27">
                  <c:v>96.286727065987762</c:v>
                </c:pt>
                <c:pt idx="28">
                  <c:v>96.431871075627726</c:v>
                </c:pt>
                <c:pt idx="29">
                  <c:v>96.580304474929434</c:v>
                </c:pt>
                <c:pt idx="30">
                  <c:v>96.732097464127818</c:v>
                </c:pt>
                <c:pt idx="31">
                  <c:v>96.887321434003155</c:v>
                </c:pt>
                <c:pt idx="32">
                  <c:v>97.046048963536052</c:v>
                </c:pt>
                <c:pt idx="33">
                  <c:v>97.208353815561267</c:v>
                </c:pt>
                <c:pt idx="34">
                  <c:v>97.37431093025431</c:v>
                </c:pt>
                <c:pt idx="35">
                  <c:v>97.543996416282667</c:v>
                </c:pt>
                <c:pt idx="36">
                  <c:v>97.717487539436505</c:v>
                </c:pt>
                <c:pt idx="37">
                  <c:v>97.894862708549397</c:v>
                </c:pt>
                <c:pt idx="38">
                  <c:v>98.076201458506389</c:v>
                </c:pt>
                <c:pt idx="39">
                  <c:v>98.261584430125708</c:v>
                </c:pt>
                <c:pt idx="40">
                  <c:v>98.451093346691252</c:v>
                </c:pt>
                <c:pt idx="41">
                  <c:v>98.644810986900737</c:v>
                </c:pt>
                <c:pt idx="42">
                  <c:v>98.842821153983522</c:v>
                </c:pt>
                <c:pt idx="43">
                  <c:v>99.045208640729413</c:v>
                </c:pt>
                <c:pt idx="44">
                  <c:v>99.252059190161063</c:v>
                </c:pt>
                <c:pt idx="45">
                  <c:v>99.463459451567644</c:v>
                </c:pt>
                <c:pt idx="46">
                  <c:v>99.679496931608796</c:v>
                </c:pt>
                <c:pt idx="47">
                  <c:v>99.900259940184739</c:v>
                </c:pt>
                <c:pt idx="48">
                  <c:v>100.12583753075896</c:v>
                </c:pt>
                <c:pt idx="49">
                  <c:v>100.35631943480759</c:v>
                </c:pt>
                <c:pt idx="50">
                  <c:v>100.59179599006238</c:v>
                </c:pt>
                <c:pt idx="51">
                  <c:v>100.83235806219913</c:v>
                </c:pt>
                <c:pt idx="52">
                  <c:v>101.07809695962347</c:v>
                </c:pt>
                <c:pt idx="53">
                  <c:v>101.32910434098942</c:v>
                </c:pt>
                <c:pt idx="54">
                  <c:v>101.58547211508589</c:v>
                </c:pt>
                <c:pt idx="55">
                  <c:v>101.84729233271835</c:v>
                </c:pt>
                <c:pt idx="56">
                  <c:v>102.11465707021148</c:v>
                </c:pt>
                <c:pt idx="57">
                  <c:v>102.38765830415558</c:v>
                </c:pt>
                <c:pt idx="58">
                  <c:v>102.66638777702214</c:v>
                </c:pt>
                <c:pt idx="59">
                  <c:v>102.95093685327554</c:v>
                </c:pt>
                <c:pt idx="60">
                  <c:v>103.24139636561661</c:v>
                </c:pt>
                <c:pt idx="61">
                  <c:v>103.53785645100037</c:v>
                </c:pt>
                <c:pt idx="62">
                  <c:v>103.84040637608574</c:v>
                </c:pt>
                <c:pt idx="63">
                  <c:v>104.14913435179136</c:v>
                </c:pt>
                <c:pt idx="64">
                  <c:v>104.46412733665214</c:v>
                </c:pt>
                <c:pt idx="65">
                  <c:v>104.78547082869797</c:v>
                </c:pt>
                <c:pt idx="66">
                  <c:v>105.11324864560873</c:v>
                </c:pt>
                <c:pt idx="67">
                  <c:v>105.44754269293341</c:v>
                </c:pt>
                <c:pt idx="68">
                  <c:v>105.78843272020828</c:v>
                </c:pt>
                <c:pt idx="69">
                  <c:v>106.13599606485502</c:v>
                </c:pt>
                <c:pt idx="70">
                  <c:v>106.49030738379857</c:v>
                </c:pt>
                <c:pt idx="71">
                  <c:v>106.85143837280816</c:v>
                </c:pt>
                <c:pt idx="72">
                  <c:v>107.21945747363361</c:v>
                </c:pt>
                <c:pt idx="73">
                  <c:v>107.59442956909351</c:v>
                </c:pt>
                <c:pt idx="74">
                  <c:v>107.97641566635447</c:v>
                </c:pt>
                <c:pt idx="75">
                  <c:v>108.36547256874097</c:v>
                </c:pt>
                <c:pt idx="76">
                  <c:v>108.76165253651646</c:v>
                </c:pt>
                <c:pt idx="77">
                  <c:v>109.16500293719484</c:v>
                </c:pt>
                <c:pt idx="78">
                  <c:v>109.5755658860574</c:v>
                </c:pt>
                <c:pt idx="79">
                  <c:v>109.99337787768434</c:v>
                </c:pt>
                <c:pt idx="80">
                  <c:v>110.41846940945099</c:v>
                </c:pt>
                <c:pt idx="81">
                  <c:v>110.85086459807522</c:v>
                </c:pt>
                <c:pt idx="82">
                  <c:v>111.29058079046673</c:v>
                </c:pt>
                <c:pt idx="83">
                  <c:v>111.73762817027763</c:v>
                </c:pt>
                <c:pt idx="84">
                  <c:v>112.192009361722</c:v>
                </c:pt>
                <c:pt idx="85">
                  <c:v>112.65371903239615</c:v>
                </c:pt>
                <c:pt idx="86">
                  <c:v>113.12274349700056</c:v>
                </c:pt>
                <c:pt idx="87">
                  <c:v>113.59906032402883</c:v>
                </c:pt>
                <c:pt idx="88">
                  <c:v>114.08263794766131</c:v>
                </c:pt>
                <c:pt idx="89">
                  <c:v>114.57343528725323</c:v>
                </c:pt>
                <c:pt idx="90">
                  <c:v>115.07140137696986</c:v>
                </c:pt>
                <c:pt idx="91">
                  <c:v>115.57647500825837</c:v>
                </c:pt>
                <c:pt idx="92">
                  <c:v>116.08858438798103</c:v>
                </c:pt>
                <c:pt idx="93">
                  <c:v>116.60764681514948</c:v>
                </c:pt>
                <c:pt idx="94">
                  <c:v>117.13356837929402</c:v>
                </c:pt>
                <c:pt idx="95">
                  <c:v>117.66624368357481</c:v>
                </c:pt>
                <c:pt idx="96">
                  <c:v>118.20555559579569</c:v>
                </c:pt>
                <c:pt idx="97">
                  <c:v>118.7513750304897</c:v>
                </c:pt>
                <c:pt idx="98">
                  <c:v>119.30356076523813</c:v>
                </c:pt>
                <c:pt idx="99">
                  <c:v>119.86195929433974</c:v>
                </c:pt>
                <c:pt idx="100">
                  <c:v>120.42640472284468</c:v>
                </c:pt>
                <c:pt idx="101">
                  <c:v>120.99671870386113</c:v>
                </c:pt>
                <c:pt idx="102">
                  <c:v>121.57271042185636</c:v>
                </c:pt>
                <c:pt idx="103">
                  <c:v>122.15417662447378</c:v>
                </c:pt>
                <c:pt idx="104">
                  <c:v>122.74090170512373</c:v>
                </c:pt>
                <c:pt idx="105">
                  <c:v>123.33265783831907</c:v>
                </c:pt>
                <c:pt idx="106">
                  <c:v>123.92920516937076</c:v>
                </c:pt>
                <c:pt idx="107">
                  <c:v>124.53029205969412</c:v>
                </c:pt>
                <c:pt idx="108">
                  <c:v>125.13565538854594</c:v>
                </c:pt>
                <c:pt idx="109">
                  <c:v>125.74502091157088</c:v>
                </c:pt>
                <c:pt idx="110">
                  <c:v>126.3581036760466</c:v>
                </c:pt>
                <c:pt idx="111">
                  <c:v>126.97460849222269</c:v>
                </c:pt>
                <c:pt idx="112">
                  <c:v>127.59423045961756</c:v>
                </c:pt>
                <c:pt idx="113">
                  <c:v>128.21665554661547</c:v>
                </c:pt>
                <c:pt idx="114">
                  <c:v>128.84156122116588</c:v>
                </c:pt>
                <c:pt idx="115">
                  <c:v>129.46861712986225</c:v>
                </c:pt>
                <c:pt idx="116">
                  <c:v>130.09748582216363</c:v>
                </c:pt>
                <c:pt idx="117">
                  <c:v>130.72782351602712</c:v>
                </c:pt>
                <c:pt idx="118">
                  <c:v>131.35928090076104</c:v>
                </c:pt>
                <c:pt idx="119">
                  <c:v>131.99150397248687</c:v>
                </c:pt>
                <c:pt idx="120">
                  <c:v>132.62413489721297</c:v>
                </c:pt>
                <c:pt idx="121">
                  <c:v>133.25681289621571</c:v>
                </c:pt>
                <c:pt idx="122">
                  <c:v>133.88917514813838</c:v>
                </c:pt>
                <c:pt idx="123">
                  <c:v>134.52085770203897</c:v>
                </c:pt>
                <c:pt idx="124">
                  <c:v>135.15149639546544</c:v>
                </c:pt>
                <c:pt idx="125">
                  <c:v>135.78072777159528</c:v>
                </c:pt>
                <c:pt idx="126">
                  <c:v>136.40818998946381</c:v>
                </c:pt>
                <c:pt idx="127">
                  <c:v>137.03352372140657</c:v>
                </c:pt>
                <c:pt idx="128">
                  <c:v>137.65637303197417</c:v>
                </c:pt>
                <c:pt idx="129">
                  <c:v>138.27638623281703</c:v>
                </c:pt>
                <c:pt idx="130">
                  <c:v>138.89321670828647</c:v>
                </c:pt>
                <c:pt idx="131">
                  <c:v>139.50652370687334</c:v>
                </c:pt>
                <c:pt idx="132">
                  <c:v>140.11597309396319</c:v>
                </c:pt>
                <c:pt idx="133">
                  <c:v>140.72123806184425</c:v>
                </c:pt>
                <c:pt idx="134">
                  <c:v>141.32199979335397</c:v>
                </c:pt>
                <c:pt idx="135">
                  <c:v>141.91794807606897</c:v>
                </c:pt>
                <c:pt idx="136">
                  <c:v>142.50878186444501</c:v>
                </c:pt>
                <c:pt idx="137">
                  <c:v>143.09420978785502</c:v>
                </c:pt>
                <c:pt idx="138">
                  <c:v>143.6739506029989</c:v>
                </c:pt>
                <c:pt idx="139">
                  <c:v>144.24773358969898</c:v>
                </c:pt>
                <c:pt idx="140">
                  <c:v>144.81529888959574</c:v>
                </c:pt>
                <c:pt idx="141">
                  <c:v>145.37639778777245</c:v>
                </c:pt>
                <c:pt idx="142">
                  <c:v>145.93079293780687</c:v>
                </c:pt>
                <c:pt idx="143">
                  <c:v>146.47825853117695</c:v>
                </c:pt>
                <c:pt idx="144">
                  <c:v>147.01858041238185</c:v>
                </c:pt>
                <c:pt idx="145">
                  <c:v>147.55155614148669</c:v>
                </c:pt>
                <c:pt idx="146">
                  <c:v>148.07699500613964</c:v>
                </c:pt>
                <c:pt idx="147">
                  <c:v>148.59471798539857</c:v>
                </c:pt>
                <c:pt idx="148">
                  <c:v>149.1045576679422</c:v>
                </c:pt>
                <c:pt idx="149">
                  <c:v>149.60635812744695</c:v>
                </c:pt>
                <c:pt idx="150">
                  <c:v>150.09997475806142</c:v>
                </c:pt>
                <c:pt idx="151">
                  <c:v>150.58527407303967</c:v>
                </c:pt>
                <c:pt idx="152">
                  <c:v>151.0621334696539</c:v>
                </c:pt>
                <c:pt idx="153">
                  <c:v>151.53044096356635</c:v>
                </c:pt>
                <c:pt idx="154">
                  <c:v>151.99009489582679</c:v>
                </c:pt>
                <c:pt idx="155">
                  <c:v>152.44100361565262</c:v>
                </c:pt>
                <c:pt idx="156">
                  <c:v>152.88308514208285</c:v>
                </c:pt>
                <c:pt idx="157">
                  <c:v>153.31626680752368</c:v>
                </c:pt>
                <c:pt idx="158">
                  <c:v>153.74048488610148</c:v>
                </c:pt>
                <c:pt idx="159">
                  <c:v>154.15568420961853</c:v>
                </c:pt>
                <c:pt idx="160">
                  <c:v>154.5618177737735</c:v>
                </c:pt>
                <c:pt idx="161">
                  <c:v>154.95884633716474</c:v>
                </c:pt>
                <c:pt idx="162">
                  <c:v>155.34673801543371</c:v>
                </c:pt>
                <c:pt idx="163">
                  <c:v>155.7254678727501</c:v>
                </c:pt>
                <c:pt idx="164">
                  <c:v>156.09501751267109</c:v>
                </c:pt>
                <c:pt idx="165">
                  <c:v>156.45537467024079</c:v>
                </c:pt>
                <c:pt idx="166">
                  <c:v>156.80653280703064</c:v>
                </c:pt>
                <c:pt idx="167">
                  <c:v>157.14849071065504</c:v>
                </c:pt>
                <c:pt idx="168">
                  <c:v>157.48125210013856</c:v>
                </c:pt>
                <c:pt idx="169">
                  <c:v>157.80482523835292</c:v>
                </c:pt>
                <c:pt idx="170">
                  <c:v>158.11922255259321</c:v>
                </c:pt>
                <c:pt idx="171">
                  <c:v>158.42446026422357</c:v>
                </c:pt>
                <c:pt idx="172">
                  <c:v>158.72055802818167</c:v>
                </c:pt>
                <c:pt idx="173">
                  <c:v>159.00753858301192</c:v>
                </c:pt>
                <c:pt idx="174">
                  <c:v>159.28542741197271</c:v>
                </c:pt>
                <c:pt idx="175">
                  <c:v>159.55425241566076</c:v>
                </c:pt>
                <c:pt idx="176">
                  <c:v>159.81404359648641</c:v>
                </c:pt>
                <c:pt idx="177">
                  <c:v>160.06483275525247</c:v>
                </c:pt>
                <c:pt idx="178">
                  <c:v>160.30665319999557</c:v>
                </c:pt>
                <c:pt idx="179">
                  <c:v>160.53953946718224</c:v>
                </c:pt>
                <c:pt idx="180">
                  <c:v>160.76352705528035</c:v>
                </c:pt>
                <c:pt idx="181">
                  <c:v>160.97865217067107</c:v>
                </c:pt>
                <c:pt idx="182">
                  <c:v>161.18495148581005</c:v>
                </c:pt>
                <c:pt idx="183">
                  <c:v>161.38246190951011</c:v>
                </c:pt>
                <c:pt idx="184">
                  <c:v>161.57122036916968</c:v>
                </c:pt>
                <c:pt idx="185">
                  <c:v>161.75126360474849</c:v>
                </c:pt>
                <c:pt idx="186">
                  <c:v>161.92262797426071</c:v>
                </c:pt>
                <c:pt idx="187">
                  <c:v>162.08534927053736</c:v>
                </c:pt>
                <c:pt idx="188">
                  <c:v>162.23946254899221</c:v>
                </c:pt>
                <c:pt idx="189">
                  <c:v>162.38500196611747</c:v>
                </c:pt>
                <c:pt idx="190">
                  <c:v>162.52200062842419</c:v>
                </c:pt>
                <c:pt idx="191">
                  <c:v>162.65049045154305</c:v>
                </c:pt>
                <c:pt idx="192">
                  <c:v>162.77050202919875</c:v>
                </c:pt>
                <c:pt idx="193">
                  <c:v>162.88206451177487</c:v>
                </c:pt>
                <c:pt idx="194">
                  <c:v>162.98520549419311</c:v>
                </c:pt>
                <c:pt idx="195">
                  <c:v>163.07995091283763</c:v>
                </c:pt>
                <c:pt idx="196">
                  <c:v>163.16632495126652</c:v>
                </c:pt>
                <c:pt idx="197">
                  <c:v>163.244349954467</c:v>
                </c:pt>
                <c:pt idx="198">
                  <c:v>163.31404635141965</c:v>
                </c:pt>
                <c:pt idx="199">
                  <c:v>163.37543258576036</c:v>
                </c:pt>
                <c:pt idx="200">
                  <c:v>163.42852505433916</c:v>
                </c:pt>
                <c:pt idx="201">
                  <c:v>163.47333805349743</c:v>
                </c:pt>
                <c:pt idx="202">
                  <c:v>163.50988373290159</c:v>
                </c:pt>
                <c:pt idx="203">
                  <c:v>163.53817205679502</c:v>
                </c:pt>
                <c:pt idx="204">
                  <c:v>163.55821077254529</c:v>
                </c:pt>
                <c:pt idx="205">
                  <c:v>163.5700053863907</c:v>
                </c:pt>
                <c:pt idx="206">
                  <c:v>163.57355914630872</c:v>
                </c:pt>
                <c:pt idx="207">
                  <c:v>163.56887303195111</c:v>
                </c:pt>
                <c:pt idx="208">
                  <c:v>163.55594575161371</c:v>
                </c:pt>
                <c:pt idx="209">
                  <c:v>163.53477374623276</c:v>
                </c:pt>
                <c:pt idx="210">
                  <c:v>163.50535120041746</c:v>
                </c:pt>
                <c:pt idx="211">
                  <c:v>163.46767006055765</c:v>
                </c:pt>
                <c:pt idx="212">
                  <c:v>163.42172006006078</c:v>
                </c:pt>
                <c:pt idx="213">
                  <c:v>163.36748875180075</c:v>
                </c:pt>
                <c:pt idx="214">
                  <c:v>163.30496154787872</c:v>
                </c:pt>
                <c:pt idx="215">
                  <c:v>163.23412176681845</c:v>
                </c:pt>
                <c:pt idx="216">
                  <c:v>163.15495068833943</c:v>
                </c:pt>
                <c:pt idx="217">
                  <c:v>163.06742761587279</c:v>
                </c:pt>
                <c:pt idx="218">
                  <c:v>162.97152994700008</c:v>
                </c:pt>
                <c:pt idx="219">
                  <c:v>162.86723325201706</c:v>
                </c:pt>
                <c:pt idx="220">
                  <c:v>162.75451136083916</c:v>
                </c:pt>
                <c:pt idx="221">
                  <c:v>162.63333645848263</c:v>
                </c:pt>
                <c:pt idx="222">
                  <c:v>162.50367918936746</c:v>
                </c:pt>
                <c:pt idx="223">
                  <c:v>162.36550877070167</c:v>
                </c:pt>
                <c:pt idx="224">
                  <c:v>162.21879311521863</c:v>
                </c:pt>
                <c:pt idx="225">
                  <c:v>162.06349896354206</c:v>
                </c:pt>
                <c:pt idx="226">
                  <c:v>161.8995920264646</c:v>
                </c:pt>
                <c:pt idx="227">
                  <c:v>161.7270371374259</c:v>
                </c:pt>
                <c:pt idx="228">
                  <c:v>161.54579841547468</c:v>
                </c:pt>
                <c:pt idx="229">
                  <c:v>161.35583943899886</c:v>
                </c:pt>
                <c:pt idx="230">
                  <c:v>161.15712343049668</c:v>
                </c:pt>
                <c:pt idx="231">
                  <c:v>160.94961345265091</c:v>
                </c:pt>
                <c:pt idx="232">
                  <c:v>160.73327261595631</c:v>
                </c:pt>
                <c:pt idx="233">
                  <c:v>160.50806429811919</c:v>
                </c:pt>
                <c:pt idx="234">
                  <c:v>160.27395237543348</c:v>
                </c:pt>
                <c:pt idx="235">
                  <c:v>160.03090146629404</c:v>
                </c:pt>
                <c:pt idx="236">
                  <c:v>159.77887718697713</c:v>
                </c:pt>
                <c:pt idx="237">
                  <c:v>159.51784641976914</c:v>
                </c:pt>
                <c:pt idx="238">
                  <c:v>159.24777759347018</c:v>
                </c:pt>
                <c:pt idx="239">
                  <c:v>158.96864097624524</c:v>
                </c:pt>
                <c:pt idx="240">
                  <c:v>158.6804089807201</c:v>
                </c:pt>
                <c:pt idx="241">
                  <c:v>158.38305648115087</c:v>
                </c:pt>
                <c:pt idx="242">
                  <c:v>158.07656114240507</c:v>
                </c:pt>
                <c:pt idx="243">
                  <c:v>157.7609037604042</c:v>
                </c:pt>
                <c:pt idx="244">
                  <c:v>157.43606861357276</c:v>
                </c:pt>
                <c:pt idx="245">
                  <c:v>157.10204382473034</c:v>
                </c:pt>
                <c:pt idx="246">
                  <c:v>156.75882173274283</c:v>
                </c:pt>
                <c:pt idx="247">
                  <c:v>156.40639927312256</c:v>
                </c:pt>
                <c:pt idx="248">
                  <c:v>156.04477836662912</c:v>
                </c:pt>
                <c:pt idx="249">
                  <c:v>155.67396631478272</c:v>
                </c:pt>
                <c:pt idx="250">
                  <c:v>155.29397620104811</c:v>
                </c:pt>
                <c:pt idx="251">
                  <c:v>154.90482729629298</c:v>
                </c:pt>
                <c:pt idx="252">
                  <c:v>154.50654546696407</c:v>
                </c:pt>
                <c:pt idx="253">
                  <c:v>154.09916358425502</c:v>
                </c:pt>
                <c:pt idx="254">
                  <c:v>153.68272193238181</c:v>
                </c:pt>
                <c:pt idx="255">
                  <c:v>153.25726861390345</c:v>
                </c:pt>
                <c:pt idx="256">
                  <c:v>152.82285994987308</c:v>
                </c:pt>
                <c:pt idx="257">
                  <c:v>152.37956087242952</c:v>
                </c:pt>
                <c:pt idx="258">
                  <c:v>151.92744530730025</c:v>
                </c:pt>
                <c:pt idx="259">
                  <c:v>151.46659654352908</c:v>
                </c:pt>
                <c:pt idx="260">
                  <c:v>150.99710758761728</c:v>
                </c:pt>
                <c:pt idx="261">
                  <c:v>150.51908149914675</c:v>
                </c:pt>
                <c:pt idx="262">
                  <c:v>150.03263170485806</c:v>
                </c:pt>
                <c:pt idx="263">
                  <c:v>149.53788228807741</c:v>
                </c:pt>
                <c:pt idx="264">
                  <c:v>149.03496825033707</c:v>
                </c:pt>
                <c:pt idx="265">
                  <c:v>148.52403574201543</c:v>
                </c:pt>
                <c:pt idx="266">
                  <c:v>148.0052422588268</c:v>
                </c:pt>
                <c:pt idx="267">
                  <c:v>147.47875680103985</c:v>
                </c:pt>
                <c:pt idx="268">
                  <c:v>146.94475999238719</c:v>
                </c:pt>
                <c:pt idx="269">
                  <c:v>146.40344415574575</c:v>
                </c:pt>
                <c:pt idx="270">
                  <c:v>145.85501334283558</c:v>
                </c:pt>
                <c:pt idx="271">
                  <c:v>145.29968331539169</c:v>
                </c:pt>
                <c:pt idx="272">
                  <c:v>144.73768147550817</c:v>
                </c:pt>
                <c:pt idx="273">
                  <c:v>144.16924674315254</c:v>
                </c:pt>
                <c:pt idx="274">
                  <c:v>143.59462937918127</c:v>
                </c:pt>
                <c:pt idx="275">
                  <c:v>143.01409075256279</c:v>
                </c:pt>
                <c:pt idx="276">
                  <c:v>142.42790305092865</c:v>
                </c:pt>
                <c:pt idx="277">
                  <c:v>141.83634893401987</c:v>
                </c:pt>
                <c:pt idx="278">
                  <c:v>141.23972113007349</c:v>
                </c:pt>
                <c:pt idx="279">
                  <c:v>140.63832197569678</c:v>
                </c:pt>
                <c:pt idx="280">
                  <c:v>140.03246290029239</c:v>
                </c:pt>
                <c:pt idx="281">
                  <c:v>139.42246385663159</c:v>
                </c:pt>
                <c:pt idx="282">
                  <c:v>138.8086526997046</c:v>
                </c:pt>
                <c:pt idx="283">
                  <c:v>138.19136451650405</c:v>
                </c:pt>
                <c:pt idx="284">
                  <c:v>137.57094090992169</c:v>
                </c:pt>
                <c:pt idx="285">
                  <c:v>136.94772924042323</c:v>
                </c:pt>
                <c:pt idx="286">
                  <c:v>136.3220818296418</c:v>
                </c:pt>
                <c:pt idx="287">
                  <c:v>135.69435513044917</c:v>
                </c:pt>
                <c:pt idx="288">
                  <c:v>135.06490886845631</c:v>
                </c:pt>
                <c:pt idx="289">
                  <c:v>134.43410516021842</c:v>
                </c:pt>
                <c:pt idx="290">
                  <c:v>133.80230761369108</c:v>
                </c:pt>
                <c:pt idx="291">
                  <c:v>133.16988041670018</c:v>
                </c:pt>
                <c:pt idx="292">
                  <c:v>132.53718741932238</c:v>
                </c:pt>
                <c:pt idx="293">
                  <c:v>131.90459121614387</c:v>
                </c:pt>
                <c:pt idx="294">
                  <c:v>131.27245223437151</c:v>
                </c:pt>
                <c:pt idx="295">
                  <c:v>130.64112783369052</c:v>
                </c:pt>
                <c:pt idx="296">
                  <c:v>130.01097142362588</c:v>
                </c:pt>
                <c:pt idx="297">
                  <c:v>129.38233160395268</c:v>
                </c:pt>
                <c:pt idx="298">
                  <c:v>128.75555133342806</c:v>
                </c:pt>
                <c:pt idx="299">
                  <c:v>128.13096713178962</c:v>
                </c:pt>
                <c:pt idx="300">
                  <c:v>127.50890831957312</c:v>
                </c:pt>
                <c:pt idx="301">
                  <c:v>126.88969629988623</c:v>
                </c:pt>
                <c:pt idx="302">
                  <c:v>126.2736438857966</c:v>
                </c:pt>
                <c:pt idx="303">
                  <c:v>125.66105467650527</c:v>
                </c:pt>
                <c:pt idx="304">
                  <c:v>125.05222248495639</c:v>
                </c:pt>
                <c:pt idx="305">
                  <c:v>124.44743081900513</c:v>
                </c:pt>
                <c:pt idx="306">
                  <c:v>123.8469524177344</c:v>
                </c:pt>
                <c:pt idx="307">
                  <c:v>123.25104884397389</c:v>
                </c:pt>
                <c:pt idx="308">
                  <c:v>122.65997013356741</c:v>
                </c:pt>
                <c:pt idx="309">
                  <c:v>122.0739545014215</c:v>
                </c:pt>
                <c:pt idx="310">
                  <c:v>121.49322810390098</c:v>
                </c:pt>
                <c:pt idx="311">
                  <c:v>120.918004856686</c:v>
                </c:pt>
                <c:pt idx="312">
                  <c:v>120.34848630678914</c:v>
                </c:pt>
                <c:pt idx="313">
                  <c:v>119.78486155706457</c:v>
                </c:pt>
                <c:pt idx="314">
                  <c:v>119.22730724119965</c:v>
                </c:pt>
                <c:pt idx="315">
                  <c:v>118.67598754688785</c:v>
                </c:pt>
                <c:pt idx="316">
                  <c:v>118.13105428463591</c:v>
                </c:pt>
                <c:pt idx="317">
                  <c:v>117.59264699944971</c:v>
                </c:pt>
                <c:pt idx="318">
                  <c:v>117.0608931224818</c:v>
                </c:pt>
                <c:pt idx="319">
                  <c:v>116.53590815960139</c:v>
                </c:pt>
                <c:pt idx="320">
                  <c:v>116.01779591376615</c:v>
                </c:pt>
                <c:pt idx="321">
                  <c:v>115.50664873803247</c:v>
                </c:pt>
                <c:pt idx="322">
                  <c:v>115.00254781602915</c:v>
                </c:pt>
                <c:pt idx="323">
                  <c:v>114.5055634667446</c:v>
                </c:pt>
                <c:pt idx="324">
                  <c:v>114.0157554705266</c:v>
                </c:pt>
                <c:pt idx="325">
                  <c:v>113.53317341327318</c:v>
                </c:pt>
                <c:pt idx="326">
                  <c:v>113.05785704588898</c:v>
                </c:pt>
                <c:pt idx="327">
                  <c:v>112.58983665620188</c:v>
                </c:pt>
                <c:pt idx="328">
                  <c:v>112.12913345066508</c:v>
                </c:pt>
                <c:pt idx="329">
                  <c:v>111.67575994331767</c:v>
                </c:pt>
                <c:pt idx="330">
                  <c:v>111.22972034963169</c:v>
                </c:pt>
                <c:pt idx="331">
                  <c:v>110.79101098303337</c:v>
                </c:pt>
                <c:pt idx="332">
                  <c:v>110.3596206520543</c:v>
                </c:pt>
                <c:pt idx="333">
                  <c:v>109.93553105623519</c:v>
                </c:pt>
                <c:pt idx="334">
                  <c:v>109.51871717907406</c:v>
                </c:pt>
                <c:pt idx="335">
                  <c:v>109.10914767647294</c:v>
                </c:pt>
                <c:pt idx="336">
                  <c:v>108.70678525930622</c:v>
                </c:pt>
                <c:pt idx="337">
                  <c:v>108.31158706888178</c:v>
                </c:pt>
                <c:pt idx="338">
                  <c:v>107.92350504422724</c:v>
                </c:pt>
                <c:pt idx="339">
                  <c:v>107.54248628027182</c:v>
                </c:pt>
                <c:pt idx="340">
                  <c:v>107.16847337613447</c:v>
                </c:pt>
                <c:pt idx="341">
                  <c:v>106.8014047728558</c:v>
                </c:pt>
                <c:pt idx="342">
                  <c:v>106.44121508003764</c:v>
                </c:pt>
                <c:pt idx="343">
                  <c:v>106.08783539095762</c:v>
                </c:pt>
                <c:pt idx="344">
                  <c:v>105.74119358583846</c:v>
                </c:pt>
                <c:pt idx="345">
                  <c:v>105.40121462304066</c:v>
                </c:pt>
                <c:pt idx="346">
                  <c:v>105.0678208180376</c:v>
                </c:pt>
                <c:pt idx="347">
                  <c:v>104.74093211010968</c:v>
                </c:pt>
                <c:pt idx="348">
                  <c:v>104.42046631676017</c:v>
                </c:pt>
                <c:pt idx="349">
                  <c:v>104.10633937592782</c:v>
                </c:pt>
                <c:pt idx="350">
                  <c:v>103.79846557611482</c:v>
                </c:pt>
                <c:pt idx="351">
                  <c:v>103.49675777460874</c:v>
                </c:pt>
                <c:pt idx="352">
                  <c:v>103.20112760401025</c:v>
                </c:pt>
                <c:pt idx="353">
                  <c:v>102.9114856673211</c:v>
                </c:pt>
                <c:pt idx="354">
                  <c:v>102.62774172187201</c:v>
                </c:pt>
                <c:pt idx="355">
                  <c:v>102.34980485240168</c:v>
                </c:pt>
                <c:pt idx="356">
                  <c:v>102.07758363361214</c:v>
                </c:pt>
                <c:pt idx="357">
                  <c:v>101.8109862825486</c:v>
                </c:pt>
                <c:pt idx="358">
                  <c:v>101.54992080115962</c:v>
                </c:pt>
                <c:pt idx="359">
                  <c:v>101.29429510940446</c:v>
                </c:pt>
                <c:pt idx="360">
                  <c:v>101.04401716928139</c:v>
                </c:pt>
                <c:pt idx="361">
                  <c:v>100.798995100151</c:v>
                </c:pt>
                <c:pt idx="362">
                  <c:v>100.5591372857325</c:v>
                </c:pt>
                <c:pt idx="363">
                  <c:v>100.32435247314643</c:v>
                </c:pt>
                <c:pt idx="364">
                  <c:v>100.09454986437555</c:v>
                </c:pt>
                <c:pt idx="365">
                  <c:v>99.869639200510079</c:v>
                </c:pt>
                <c:pt idx="366">
                  <c:v>99.649530839136546</c:v>
                </c:pt>
                <c:pt idx="367">
                  <c:v>99.434135825223152</c:v>
                </c:pt>
                <c:pt idx="368">
                  <c:v>99.223365955842311</c:v>
                </c:pt>
                <c:pt idx="369">
                  <c:v>99.017133839067569</c:v>
                </c:pt>
                <c:pt idx="370">
                  <c:v>98.815352947365454</c:v>
                </c:pt>
                <c:pt idx="371">
                  <c:v>98.617937665796347</c:v>
                </c:pt>
                <c:pt idx="372">
                  <c:v>98.424803335326317</c:v>
                </c:pt>
                <c:pt idx="373">
                  <c:v>98.235866291539949</c:v>
                </c:pt>
                <c:pt idx="374">
                  <c:v>98.051043899033402</c:v>
                </c:pt>
                <c:pt idx="375">
                  <c:v>97.870254581755773</c:v>
                </c:pt>
                <c:pt idx="376">
                  <c:v>97.693417849553512</c:v>
                </c:pt>
                <c:pt idx="377">
                  <c:v>97.520454321164834</c:v>
                </c:pt>
                <c:pt idx="378">
                  <c:v>97.351285743894195</c:v>
                </c:pt>
                <c:pt idx="379">
                  <c:v>97.185835010192491</c:v>
                </c:pt>
                <c:pt idx="380">
                  <c:v>97.024026171352077</c:v>
                </c:pt>
                <c:pt idx="381">
                  <c:v>96.86578444851817</c:v>
                </c:pt>
                <c:pt idx="382">
                  <c:v>96.711036241206571</c:v>
                </c:pt>
                <c:pt idx="383">
                  <c:v>96.559709133508747</c:v>
                </c:pt>
                <c:pt idx="384">
                  <c:v>96.411731898154329</c:v>
                </c:pt>
                <c:pt idx="385">
                  <c:v>96.26703449859211</c:v>
                </c:pt>
                <c:pt idx="386">
                  <c:v>96.125548089242926</c:v>
                </c:pt>
                <c:pt idx="387">
                  <c:v>95.98720501406585</c:v>
                </c:pt>
                <c:pt idx="388">
                  <c:v>95.851938803575436</c:v>
                </c:pt>
                <c:pt idx="389">
                  <c:v>95.719684170435087</c:v>
                </c:pt>
                <c:pt idx="390">
                  <c:v>95.590377003747719</c:v>
                </c:pt>
                <c:pt idx="391">
                  <c:v>95.463954362154695</c:v>
                </c:pt>
                <c:pt idx="392">
                  <c:v>95.34035446584987</c:v>
                </c:pt>
                <c:pt idx="393">
                  <c:v>95.219516687606088</c:v>
                </c:pt>
                <c:pt idx="394">
                  <c:v>95.101381542908229</c:v>
                </c:pt>
                <c:pt idx="395">
                  <c:v>94.985890679277688</c:v>
                </c:pt>
                <c:pt idx="396">
                  <c:v>94.872986864870597</c:v>
                </c:pt>
                <c:pt idx="397">
                  <c:v>94.762613976424774</c:v>
                </c:pt>
                <c:pt idx="398">
                  <c:v>94.65471698662563</c:v>
                </c:pt>
                <c:pt idx="399">
                  <c:v>94.549241950957537</c:v>
                </c:pt>
                <c:pt idx="400">
                  <c:v>94.446135994101027</c:v>
                </c:pt>
                <c:pt idx="401">
                  <c:v>94.345347295933635</c:v>
                </c:pt>
                <c:pt idx="402">
                  <c:v>94.246825077186116</c:v>
                </c:pt>
                <c:pt idx="403">
                  <c:v>94.150519584804556</c:v>
                </c:pt>
                <c:pt idx="404">
                  <c:v>94.056382077062793</c:v>
                </c:pt>
                <c:pt idx="405">
                  <c:v>93.964364808468076</c:v>
                </c:pt>
                <c:pt idx="406">
                  <c:v>93.874421014498509</c:v>
                </c:pt>
                <c:pt idx="407">
                  <c:v>93.786504896208982</c:v>
                </c:pt>
                <c:pt idx="408">
                  <c:v>93.700571604738187</c:v>
                </c:pt>
                <c:pt idx="409">
                  <c:v>93.616577225747875</c:v>
                </c:pt>
                <c:pt idx="410">
                  <c:v>93.534478763822932</c:v>
                </c:pt>
                <c:pt idx="411">
                  <c:v>93.454234126857344</c:v>
                </c:pt>
                <c:pt idx="412">
                  <c:v>93.375802110450778</c:v>
                </c:pt>
                <c:pt idx="413">
                  <c:v>93.299142382337322</c:v>
                </c:pt>
                <c:pt idx="414">
                  <c:v>93.224215466866099</c:v>
                </c:pt>
                <c:pt idx="415">
                  <c:v>93.150982729552553</c:v>
                </c:pt>
                <c:pt idx="416">
                  <c:v>93.079406361716309</c:v>
                </c:pt>
                <c:pt idx="417">
                  <c:v>93.009449365221514</c:v>
                </c:pt>
                <c:pt idx="418">
                  <c:v>92.941075537332537</c:v>
                </c:pt>
                <c:pt idx="419">
                  <c:v>92.874249455697822</c:v>
                </c:pt>
                <c:pt idx="420">
                  <c:v>92.808936463472975</c:v>
                </c:pt>
                <c:pt idx="421">
                  <c:v>92.745102654592984</c:v>
                </c:pt>
                <c:pt idx="422">
                  <c:v>92.682714859202363</c:v>
                </c:pt>
                <c:pt idx="423">
                  <c:v>92.621740629251391</c:v>
                </c:pt>
                <c:pt idx="424">
                  <c:v>92.5621482242654</c:v>
                </c:pt>
                <c:pt idx="425">
                  <c:v>92.503906597293053</c:v>
                </c:pt>
                <c:pt idx="426">
                  <c:v>92.446985381039042</c:v>
                </c:pt>
                <c:pt idx="427">
                  <c:v>92.391354874186277</c:v>
                </c:pt>
                <c:pt idx="428">
                  <c:v>92.336986027911038</c:v>
                </c:pt>
                <c:pt idx="429">
                  <c:v>92.283850432594193</c:v>
                </c:pt>
                <c:pt idx="430">
                  <c:v>92.231920304732398</c:v>
                </c:pt>
                <c:pt idx="431">
                  <c:v>92.181168474050011</c:v>
                </c:pt>
                <c:pt idx="432">
                  <c:v>92.131568370814719</c:v>
                </c:pt>
                <c:pt idx="433">
                  <c:v>92.083094013357396</c:v>
                </c:pt>
                <c:pt idx="434">
                  <c:v>92.035719995797336</c:v>
                </c:pt>
                <c:pt idx="435">
                  <c:v>91.989421475973614</c:v>
                </c:pt>
                <c:pt idx="436">
                  <c:v>91.944174163582133</c:v>
                </c:pt>
                <c:pt idx="437">
                  <c:v>91.89995430851873</c:v>
                </c:pt>
                <c:pt idx="438">
                  <c:v>91.856738689427729</c:v>
                </c:pt>
                <c:pt idx="439">
                  <c:v>91.814504602454988</c:v>
                </c:pt>
                <c:pt idx="440">
                  <c:v>91.773229850204828</c:v>
                </c:pt>
                <c:pt idx="441">
                  <c:v>91.73289273089938</c:v>
                </c:pt>
                <c:pt idx="442">
                  <c:v>91.693472027739162</c:v>
                </c:pt>
                <c:pt idx="443">
                  <c:v>91.654946998463188</c:v>
                </c:pt>
                <c:pt idx="444">
                  <c:v>91.617297365106893</c:v>
                </c:pt>
                <c:pt idx="445">
                  <c:v>91.580503303956093</c:v>
                </c:pt>
                <c:pt idx="446">
                  <c:v>91.5445454356949</c:v>
                </c:pt>
                <c:pt idx="447">
                  <c:v>91.50940481574554</c:v>
                </c:pt>
                <c:pt idx="448">
                  <c:v>91.475062924797683</c:v>
                </c:pt>
                <c:pt idx="449">
                  <c:v>91.441501659525215</c:v>
                </c:pt>
                <c:pt idx="450">
                  <c:v>91.408703323487913</c:v>
                </c:pt>
                <c:pt idx="451">
                  <c:v>91.376650618215493</c:v>
                </c:pt>
                <c:pt idx="452">
                  <c:v>91.345326634471817</c:v>
                </c:pt>
                <c:pt idx="453">
                  <c:v>91.314714843696208</c:v>
                </c:pt>
                <c:pt idx="454">
                  <c:v>91.284799089619796</c:v>
                </c:pt>
                <c:pt idx="455">
                  <c:v>91.255563580053689</c:v>
                </c:pt>
                <c:pt idx="456">
                  <c:v>91.226992878847</c:v>
                </c:pt>
                <c:pt idx="457">
                  <c:v>91.199071898011098</c:v>
                </c:pt>
                <c:pt idx="458">
                  <c:v>91.171785890008323</c:v>
                </c:pt>
                <c:pt idx="459">
                  <c:v>91.145120440201836</c:v>
                </c:pt>
                <c:pt idx="460">
                  <c:v>91.119061459464035</c:v>
                </c:pt>
                <c:pt idx="461">
                  <c:v>91.09359517694088</c:v>
                </c:pt>
                <c:pt idx="462">
                  <c:v>91.068708132969334</c:v>
                </c:pt>
                <c:pt idx="463">
                  <c:v>91.044387172145207</c:v>
                </c:pt>
                <c:pt idx="464">
                  <c:v>91.020619436538766</c:v>
                </c:pt>
                <c:pt idx="465">
                  <c:v>90.997392359055254</c:v>
                </c:pt>
                <c:pt idx="466">
                  <c:v>90.974693656937873</c:v>
                </c:pt>
                <c:pt idx="467">
                  <c:v>90.952511325410384</c:v>
                </c:pt>
                <c:pt idx="468">
                  <c:v>90.930833631456764</c:v>
                </c:pt>
                <c:pt idx="469">
                  <c:v>90.909649107735376</c:v>
                </c:pt>
                <c:pt idx="470">
                  <c:v>90.888946546624879</c:v>
                </c:pt>
                <c:pt idx="471">
                  <c:v>90.868714994399539</c:v>
                </c:pt>
                <c:pt idx="472">
                  <c:v>90.848943745531315</c:v>
                </c:pt>
                <c:pt idx="473">
                  <c:v>90.829622337116064</c:v>
                </c:pt>
                <c:pt idx="474">
                  <c:v>90.810740543421886</c:v>
                </c:pt>
                <c:pt idx="475">
                  <c:v>90.792288370556392</c:v>
                </c:pt>
                <c:pt idx="476">
                  <c:v>90.774256051251328</c:v>
                </c:pt>
                <c:pt idx="477">
                  <c:v>90.756634039761678</c:v>
                </c:pt>
                <c:pt idx="478">
                  <c:v>90.739413006876859</c:v>
                </c:pt>
                <c:pt idx="479">
                  <c:v>90.722583835042144</c:v>
                </c:pt>
                <c:pt idx="480">
                  <c:v>90.706137613587657</c:v>
                </c:pt>
                <c:pt idx="481">
                  <c:v>90.690065634062847</c:v>
                </c:pt>
                <c:pt idx="482">
                  <c:v>90.674359385674251</c:v>
                </c:pt>
                <c:pt idx="483">
                  <c:v>90.659010550824419</c:v>
                </c:pt>
                <c:pt idx="484">
                  <c:v>90.644011000749771</c:v>
                </c:pt>
                <c:pt idx="485">
                  <c:v>90.629352791255442</c:v>
                </c:pt>
                <c:pt idx="486">
                  <c:v>90.615028158545016</c:v>
                </c:pt>
                <c:pt idx="487">
                  <c:v>90.601029515142955</c:v>
                </c:pt>
                <c:pt idx="488">
                  <c:v>90.587349445908217</c:v>
                </c:pt>
                <c:pt idx="489">
                  <c:v>90.573980704136503</c:v>
                </c:pt>
                <c:pt idx="490">
                  <c:v>90.560916207749713</c:v>
                </c:pt>
                <c:pt idx="491">
                  <c:v>90.54814903557056</c:v>
                </c:pt>
                <c:pt idx="492">
                  <c:v>90.535672423680523</c:v>
                </c:pt>
                <c:pt idx="493">
                  <c:v>90.523479761859249</c:v>
                </c:pt>
                <c:pt idx="494">
                  <c:v>90.511564590103873</c:v>
                </c:pt>
                <c:pt idx="495">
                  <c:v>90.499920595226257</c:v>
                </c:pt>
                <c:pt idx="496">
                  <c:v>90.488541607526571</c:v>
                </c:pt>
                <c:pt idx="497">
                  <c:v>90.477421597541721</c:v>
                </c:pt>
                <c:pt idx="498">
                  <c:v>90.466554672866621</c:v>
                </c:pt>
                <c:pt idx="499">
                  <c:v>90.455935075047009</c:v>
                </c:pt>
                <c:pt idx="500">
                  <c:v>90.445557176542167</c:v>
                </c:pt>
                <c:pt idx="501">
                  <c:v>90.435415477755996</c:v>
                </c:pt>
                <c:pt idx="502">
                  <c:v>90.425504604134787</c:v>
                </c:pt>
                <c:pt idx="503">
                  <c:v>90.415819303330679</c:v>
                </c:pt>
                <c:pt idx="504">
                  <c:v>90.406354442428679</c:v>
                </c:pt>
                <c:pt idx="505">
                  <c:v>90.397105005236497</c:v>
                </c:pt>
                <c:pt idx="506">
                  <c:v>90.388066089635373</c:v>
                </c:pt>
                <c:pt idx="507">
                  <c:v>90.379232904990715</c:v>
                </c:pt>
                <c:pt idx="508">
                  <c:v>90.370600769621163</c:v>
                </c:pt>
                <c:pt idx="509">
                  <c:v>90.36216510832493</c:v>
                </c:pt>
                <c:pt idx="510">
                  <c:v>90.353921449961831</c:v>
                </c:pt>
                <c:pt idx="511">
                  <c:v>90.345865425090167</c:v>
                </c:pt>
                <c:pt idx="512">
                  <c:v>90.337992763656857</c:v>
                </c:pt>
                <c:pt idx="513">
                  <c:v>90.330299292739923</c:v>
                </c:pt>
                <c:pt idx="514">
                  <c:v>90.322780934341978</c:v>
                </c:pt>
                <c:pt idx="515">
                  <c:v>90.315433703233694</c:v>
                </c:pt>
                <c:pt idx="516">
                  <c:v>90.30825370484601</c:v>
                </c:pt>
                <c:pt idx="517">
                  <c:v>90.301237133210108</c:v>
                </c:pt>
                <c:pt idx="518">
                  <c:v>90.294380268944082</c:v>
                </c:pt>
                <c:pt idx="519">
                  <c:v>90.287679477285025</c:v>
                </c:pt>
                <c:pt idx="520">
                  <c:v>90.281131206165981</c:v>
                </c:pt>
                <c:pt idx="521">
                  <c:v>90.274731984336199</c:v>
                </c:pt>
                <c:pt idx="522">
                  <c:v>90.268478419524186</c:v>
                </c:pt>
                <c:pt idx="523">
                  <c:v>90.262367196642316</c:v>
                </c:pt>
                <c:pt idx="524">
                  <c:v>90.256395076032078</c:v>
                </c:pt>
                <c:pt idx="525">
                  <c:v>90.250558891749336</c:v>
                </c:pt>
                <c:pt idx="526">
                  <c:v>90.244855549888214</c:v>
                </c:pt>
                <c:pt idx="527">
                  <c:v>90.239282026943243</c:v>
                </c:pt>
                <c:pt idx="528">
                  <c:v>90.23383536820846</c:v>
                </c:pt>
                <c:pt idx="529">
                  <c:v>90.228512686212966</c:v>
                </c:pt>
                <c:pt idx="530">
                  <c:v>90.223311159191994</c:v>
                </c:pt>
                <c:pt idx="531">
                  <c:v>90.218228029592552</c:v>
                </c:pt>
                <c:pt idx="532">
                  <c:v>90.213260602613232</c:v>
                </c:pt>
                <c:pt idx="533">
                  <c:v>90.20840624477681</c:v>
                </c:pt>
                <c:pt idx="534">
                  <c:v>90.203662382535612</c:v>
                </c:pt>
                <c:pt idx="535">
                  <c:v>90.199026500908403</c:v>
                </c:pt>
                <c:pt idx="536">
                  <c:v>90.194496142148111</c:v>
                </c:pt>
                <c:pt idx="537">
                  <c:v>90.190068904440082</c:v>
                </c:pt>
                <c:pt idx="538">
                  <c:v>90.185742440629667</c:v>
                </c:pt>
                <c:pt idx="539">
                  <c:v>90.181514456978803</c:v>
                </c:pt>
                <c:pt idx="540">
                  <c:v>90.177382711950898</c:v>
                </c:pt>
                <c:pt idx="541">
                  <c:v>90.173345015023273</c:v>
                </c:pt>
              </c:numCache>
            </c:numRef>
          </c:yVal>
          <c:smooth val="1"/>
          <c:extLst>
            <c:ext xmlns:c16="http://schemas.microsoft.com/office/drawing/2014/chart" uri="{C3380CC4-5D6E-409C-BE32-E72D297353CC}">
              <c16:uniqueId val="{00000001-739C-45D3-85A0-6F864EF09A5E}"/>
            </c:ext>
          </c:extLst>
        </c:ser>
        <c:dLbls>
          <c:showLegendKey val="0"/>
          <c:showVal val="0"/>
          <c:showCatName val="0"/>
          <c:showSerName val="0"/>
          <c:showPercent val="0"/>
          <c:showBubbleSize val="0"/>
        </c:dLbls>
        <c:axId val="365441024"/>
        <c:axId val="365439232"/>
      </c:scatterChart>
      <c:valAx>
        <c:axId val="555280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37312"/>
        <c:crosses val="autoZero"/>
        <c:crossBetween val="midCat"/>
      </c:valAx>
      <c:valAx>
        <c:axId val="365437312"/>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280640"/>
        <c:crosses val="autoZero"/>
        <c:crossBetween val="midCat"/>
        <c:majorUnit val="20"/>
        <c:minorUnit val="10"/>
      </c:valAx>
      <c:valAx>
        <c:axId val="365439232"/>
        <c:scaling>
          <c:orientation val="minMax"/>
          <c:max val="180"/>
          <c:min val="-180"/>
        </c:scaling>
        <c:delete val="0"/>
        <c:axPos val="r"/>
        <c:numFmt formatCode="General" sourceLinked="1"/>
        <c:majorTickMark val="out"/>
        <c:minorTickMark val="none"/>
        <c:tickLblPos val="nextTo"/>
        <c:crossAx val="365441024"/>
        <c:crosses val="max"/>
        <c:crossBetween val="midCat"/>
        <c:majorUnit val="90"/>
        <c:minorUnit val="45"/>
      </c:valAx>
      <c:valAx>
        <c:axId val="365441024"/>
        <c:scaling>
          <c:logBase val="10"/>
          <c:orientation val="minMax"/>
        </c:scaling>
        <c:delete val="1"/>
        <c:axPos val="b"/>
        <c:numFmt formatCode="0.00" sourceLinked="1"/>
        <c:majorTickMark val="out"/>
        <c:minorTickMark val="none"/>
        <c:tickLblPos val="nextTo"/>
        <c:crossAx val="365439232"/>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CCM 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Loop_Modeling!$BJ$19:$BJ$560</c:f>
              <c:numCache>
                <c:formatCode>0.000</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19.267406677859491</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-14.234353089863438</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5C1C-4343-BD13-B77BBFD8A6AA}"/>
            </c:ext>
          </c:extLst>
        </c:ser>
        <c:dLbls>
          <c:showLegendKey val="0"/>
          <c:showVal val="0"/>
          <c:showCatName val="0"/>
          <c:showSerName val="0"/>
          <c:showPercent val="0"/>
          <c:showBubbleSize val="0"/>
        </c:dLbls>
        <c:axId val="365455232"/>
        <c:axId val="365465600"/>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Loop_Modeling!$BK$19:$BK$560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93.011791719771878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92.577122809680063</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19.636258496621387</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1-5C1C-4343-BD13-B77BBFD8A6AA}"/>
            </c:ext>
          </c:extLst>
        </c:ser>
        <c:dLbls>
          <c:showLegendKey val="0"/>
          <c:showVal val="0"/>
          <c:showCatName val="0"/>
          <c:showSerName val="0"/>
          <c:showPercent val="0"/>
          <c:showBubbleSize val="0"/>
        </c:dLbls>
        <c:axId val="365469056"/>
        <c:axId val="365467520"/>
      </c:scatterChart>
      <c:valAx>
        <c:axId val="36545523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365465600"/>
        <c:crosses val="autoZero"/>
        <c:crossBetween val="midCat"/>
      </c:valAx>
      <c:valAx>
        <c:axId val="36546560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365455232"/>
        <c:crosses val="autoZero"/>
        <c:crossBetween val="midCat"/>
        <c:majorUnit val="20"/>
        <c:minorUnit val="10"/>
      </c:valAx>
      <c:valAx>
        <c:axId val="365467520"/>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365469056"/>
        <c:crosses val="max"/>
        <c:crossBetween val="midCat"/>
        <c:majorUnit val="90"/>
        <c:minorUnit val="45"/>
      </c:valAx>
      <c:valAx>
        <c:axId val="365469056"/>
        <c:scaling>
          <c:logBase val="10"/>
          <c:orientation val="minMax"/>
        </c:scaling>
        <c:delete val="1"/>
        <c:axPos val="b"/>
        <c:numFmt formatCode="0.00" sourceLinked="1"/>
        <c:majorTickMark val="out"/>
        <c:minorTickMark val="none"/>
        <c:tickLblPos val="nextTo"/>
        <c:crossAx val="36546752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DCM Plant Transfer</a:t>
            </a:r>
            <a:r>
              <a:rPr lang="en-US" baseline="0"/>
              <a:t> Function</a:t>
            </a:r>
            <a:endParaRPr lang="en-US"/>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General</c:formatCode>
                <c:ptCount val="542"/>
                <c:pt idx="0">
                  <c:v>40.621353054085688</c:v>
                </c:pt>
                <c:pt idx="1">
                  <c:v>40.620884384168448</c:v>
                </c:pt>
                <c:pt idx="2">
                  <c:v>40.620393680722287</c:v>
                </c:pt>
                <c:pt idx="3">
                  <c:v>40.61987991055463</c:v>
                </c:pt>
                <c:pt idx="4">
                  <c:v>40.619341992282052</c:v>
                </c:pt>
                <c:pt idx="5">
                  <c:v>40.61877879410585</c:v>
                </c:pt>
                <c:pt idx="6">
                  <c:v>40.618189131489324</c:v>
                </c:pt>
                <c:pt idx="7">
                  <c:v>40.617571764730172</c:v>
                </c:pt>
                <c:pt idx="8">
                  <c:v>40.61692539642366</c:v>
                </c:pt>
                <c:pt idx="9">
                  <c:v>40.616248668811757</c:v>
                </c:pt>
                <c:pt idx="10">
                  <c:v>40.615540161015893</c:v>
                </c:pt>
                <c:pt idx="11">
                  <c:v>40.614798386144301</c:v>
                </c:pt>
                <c:pt idx="12">
                  <c:v>40.61402178827209</c:v>
                </c:pt>
                <c:pt idx="13">
                  <c:v>40.613208739287437</c:v>
                </c:pt>
                <c:pt idx="14">
                  <c:v>40.612357535599138</c:v>
                </c:pt>
                <c:pt idx="15">
                  <c:v>40.611466394697985</c:v>
                </c:pt>
                <c:pt idx="16">
                  <c:v>40.610533451569204</c:v>
                </c:pt>
                <c:pt idx="17">
                  <c:v>40.609556754947185</c:v>
                </c:pt>
                <c:pt idx="18">
                  <c:v>40.608534263406774</c:v>
                </c:pt>
                <c:pt idx="19">
                  <c:v>40.60746384128727</c:v>
                </c:pt>
                <c:pt idx="20">
                  <c:v>40.606343254438208</c:v>
                </c:pt>
                <c:pt idx="21">
                  <c:v>40.605170165784223</c:v>
                </c:pt>
                <c:pt idx="22">
                  <c:v>40.603942130699323</c:v>
                </c:pt>
                <c:pt idx="23">
                  <c:v>40.602656592184857</c:v>
                </c:pt>
                <c:pt idx="24">
                  <c:v>40.601310875843808</c:v>
                </c:pt>
                <c:pt idx="25">
                  <c:v>40.599902184643291</c:v>
                </c:pt>
                <c:pt idx="26">
                  <c:v>40.598427593457735</c:v>
                </c:pt>
                <c:pt idx="27">
                  <c:v>40.596884043386396</c:v>
                </c:pt>
                <c:pt idx="28">
                  <c:v>40.59526833583503</c:v>
                </c:pt>
                <c:pt idx="29">
                  <c:v>40.593577126355889</c:v>
                </c:pt>
                <c:pt idx="30">
                  <c:v>40.591806918236834</c:v>
                </c:pt>
                <c:pt idx="31">
                  <c:v>40.589954055831463</c:v>
                </c:pt>
                <c:pt idx="32">
                  <c:v>40.588014717622521</c:v>
                </c:pt>
                <c:pt idx="33">
                  <c:v>40.585984909009973</c:v>
                </c:pt>
                <c:pt idx="34">
                  <c:v>40.583860454815138</c:v>
                </c:pt>
                <c:pt idx="35">
                  <c:v>40.581636991494562</c:v>
                </c:pt>
                <c:pt idx="36">
                  <c:v>40.579309959052239</c:v>
                </c:pt>
                <c:pt idx="37">
                  <c:v>40.576874592645765</c:v>
                </c:pt>
                <c:pt idx="38">
                  <c:v>40.574325913875242</c:v>
                </c:pt>
                <c:pt idx="39">
                  <c:v>40.571658721750495</c:v>
                </c:pt>
                <c:pt idx="40">
                  <c:v>40.56886758332616</c:v>
                </c:pt>
                <c:pt idx="41">
                  <c:v>40.565946824000115</c:v>
                </c:pt>
                <c:pt idx="42">
                  <c:v>40.562890517466784</c:v>
                </c:pt>
                <c:pt idx="43">
                  <c:v>40.559692475320304</c:v>
                </c:pt>
                <c:pt idx="44">
                  <c:v>40.556346236301799</c:v>
                </c:pt>
                <c:pt idx="45">
                  <c:v>40.552845055184875</c:v>
                </c:pt>
                <c:pt idx="46">
                  <c:v>40.549181891296115</c:v>
                </c:pt>
                <c:pt idx="47">
                  <c:v>40.545349396667767</c:v>
                </c:pt>
                <c:pt idx="48">
                  <c:v>40.541339903818269</c:v>
                </c:pt>
                <c:pt idx="49">
                  <c:v>40.537145413161504</c:v>
                </c:pt>
                <c:pt idx="50">
                  <c:v>40.532757580043977</c:v>
                </c:pt>
                <c:pt idx="51">
                  <c:v>40.528167701410744</c:v>
                </c:pt>
                <c:pt idx="52">
                  <c:v>40.523366702105072</c:v>
                </c:pt>
                <c:pt idx="53">
                  <c:v>40.518345120804291</c:v>
                </c:pt>
                <c:pt idx="54">
                  <c:v>40.513093095600034</c:v>
                </c:pt>
                <c:pt idx="55">
                  <c:v>40.507600349231879</c:v>
                </c:pt>
                <c:pt idx="56">
                  <c:v>40.501856173984962</c:v>
                </c:pt>
                <c:pt idx="57">
                  <c:v>40.495849416265173</c:v>
                </c:pt>
                <c:pt idx="58">
                  <c:v>40.489568460870878</c:v>
                </c:pt>
                <c:pt idx="59">
                  <c:v>40.483001214977278</c:v>
                </c:pt>
                <c:pt idx="60">
                  <c:v>40.476135091860115</c:v>
                </c:pt>
                <c:pt idx="61">
                  <c:v>40.468956994383802</c:v>
                </c:pt>
                <c:pt idx="62">
                  <c:v>40.461453298284276</c:v>
                </c:pt>
                <c:pt idx="63">
                  <c:v>40.453609835283793</c:v>
                </c:pt>
                <c:pt idx="64">
                  <c:v>40.445411876074495</c:v>
                </c:pt>
                <c:pt idx="65">
                  <c:v>40.436844113217759</c:v>
                </c:pt>
                <c:pt idx="66">
                  <c:v>40.427890644007086</c:v>
                </c:pt>
                <c:pt idx="67">
                  <c:v>40.418534953351646</c:v>
                </c:pt>
                <c:pt idx="68">
                  <c:v>40.40875989673993</c:v>
                </c:pt>
                <c:pt idx="69">
                  <c:v>40.398547683352604</c:v>
                </c:pt>
                <c:pt idx="70">
                  <c:v>40.387879859397664</c:v>
                </c:pt>
                <c:pt idx="71">
                  <c:v>40.376737291748761</c:v>
                </c:pt>
                <c:pt idx="72">
                  <c:v>40.365100151976108</c:v>
                </c:pt>
                <c:pt idx="73">
                  <c:v>40.352947900864208</c:v>
                </c:pt>
                <c:pt idx="74">
                  <c:v>40.340259273521262</c:v>
                </c:pt>
                <c:pt idx="75">
                  <c:v>40.327012265190312</c:v>
                </c:pt>
                <c:pt idx="76">
                  <c:v>40.313184117883374</c:v>
                </c:pt>
                <c:pt idx="77">
                  <c:v>40.298751307965858</c:v>
                </c:pt>
                <c:pt idx="78">
                  <c:v>40.283689534827829</c:v>
                </c:pt>
                <c:pt idx="79">
                  <c:v>40.267973710786869</c:v>
                </c:pt>
                <c:pt idx="80">
                  <c:v>40.251577952376806</c:v>
                </c:pt>
                <c:pt idx="81">
                  <c:v>40.234475573182792</c:v>
                </c:pt>
                <c:pt idx="82">
                  <c:v>40.21663907839244</c:v>
                </c:pt>
                <c:pt idx="83">
                  <c:v>40.198040161241018</c:v>
                </c:pt>
                <c:pt idx="84">
                  <c:v>40.178649701533224</c:v>
                </c:pt>
                <c:pt idx="85">
                  <c:v>40.15843776643375</c:v>
                </c:pt>
                <c:pt idx="86">
                  <c:v>40.137373613721593</c:v>
                </c:pt>
                <c:pt idx="87">
                  <c:v>40.115425697709469</c:v>
                </c:pt>
                <c:pt idx="88">
                  <c:v>40.092561678031927</c:v>
                </c:pt>
                <c:pt idx="89">
                  <c:v>40.068748431509349</c:v>
                </c:pt>
                <c:pt idx="90">
                  <c:v>40.043952067294185</c:v>
                </c:pt>
                <c:pt idx="91">
                  <c:v>40.01813794550506</c:v>
                </c:pt>
                <c:pt idx="92">
                  <c:v>39.99127069955145</c:v>
                </c:pt>
                <c:pt idx="93">
                  <c:v>39.963314262346174</c:v>
                </c:pt>
                <c:pt idx="94">
                  <c:v>39.934231896595264</c:v>
                </c:pt>
                <c:pt idx="95">
                  <c:v>39.903986229343865</c:v>
                </c:pt>
                <c:pt idx="96">
                  <c:v>39.8725392909448</c:v>
                </c:pt>
                <c:pt idx="97">
                  <c:v>39.839852558598842</c:v>
                </c:pt>
                <c:pt idx="98">
                  <c:v>39.805887004598539</c:v>
                </c:pt>
                <c:pt idx="99">
                  <c:v>39.77060314938192</c:v>
                </c:pt>
                <c:pt idx="100">
                  <c:v>39.733961119480703</c:v>
                </c:pt>
                <c:pt idx="101">
                  <c:v>39.695920710413134</c:v>
                </c:pt>
                <c:pt idx="102">
                  <c:v>39.656441454544051</c:v>
                </c:pt>
                <c:pt idx="103">
                  <c:v>39.615482693894819</c:v>
                </c:pt>
                <c:pt idx="104">
                  <c:v>39.573003657848361</c:v>
                </c:pt>
                <c:pt idx="105">
                  <c:v>39.528963545651493</c:v>
                </c:pt>
                <c:pt idx="106">
                  <c:v>39.483321613570965</c:v>
                </c:pt>
                <c:pt idx="107">
                  <c:v>39.436037266513104</c:v>
                </c:pt>
                <c:pt idx="108">
                  <c:v>39.387070153865253</c:v>
                </c:pt>
                <c:pt idx="109">
                  <c:v>39.336380269267231</c:v>
                </c:pt>
                <c:pt idx="110">
                  <c:v>39.283928053966704</c:v>
                </c:pt>
                <c:pt idx="111">
                  <c:v>39.22967450336165</c:v>
                </c:pt>
                <c:pt idx="112">
                  <c:v>39.173581276277702</c:v>
                </c:pt>
                <c:pt idx="113">
                  <c:v>39.115610806477562</c:v>
                </c:pt>
                <c:pt idx="114">
                  <c:v>39.05572641585173</c:v>
                </c:pt>
                <c:pt idx="115">
                  <c:v>38.993892428689179</c:v>
                </c:pt>
                <c:pt idx="116">
                  <c:v>38.930074286385747</c:v>
                </c:pt>
                <c:pt idx="117">
                  <c:v>38.864238661910214</c:v>
                </c:pt>
                <c:pt idx="118">
                  <c:v>38.796353573311023</c:v>
                </c:pt>
                <c:pt idx="119">
                  <c:v>38.726388495524596</c:v>
                </c:pt>
                <c:pt idx="120">
                  <c:v>38.654314469722294</c:v>
                </c:pt>
                <c:pt idx="121">
                  <c:v>38.580104209423965</c:v>
                </c:pt>
                <c:pt idx="122">
                  <c:v>38.503732202601761</c:v>
                </c:pt>
                <c:pt idx="123">
                  <c:v>38.425174809003295</c:v>
                </c:pt>
                <c:pt idx="124">
                  <c:v>38.344410351939125</c:v>
                </c:pt>
                <c:pt idx="125">
                  <c:v>38.261419203803683</c:v>
                </c:pt>
                <c:pt idx="126">
                  <c:v>38.176183864632506</c:v>
                </c:pt>
                <c:pt idx="127">
                  <c:v>38.088689033044581</c:v>
                </c:pt>
                <c:pt idx="128">
                  <c:v>37.998921668966965</c:v>
                </c:pt>
                <c:pt idx="129">
                  <c:v>37.90687104760562</c:v>
                </c:pt>
                <c:pt idx="130">
                  <c:v>37.812528804191153</c:v>
                </c:pt>
                <c:pt idx="131">
                  <c:v>37.715888969105947</c:v>
                </c:pt>
                <c:pt idx="132">
                  <c:v>37.616947993082157</c:v>
                </c:pt>
                <c:pt idx="133">
                  <c:v>37.515704762244077</c:v>
                </c:pt>
                <c:pt idx="134">
                  <c:v>37.412160602861327</c:v>
                </c:pt>
                <c:pt idx="135">
                  <c:v>37.306319275769766</c:v>
                </c:pt>
                <c:pt idx="136">
                  <c:v>37.198186960510306</c:v>
                </c:pt>
                <c:pt idx="137">
                  <c:v>37.087772229328159</c:v>
                </c:pt>
                <c:pt idx="138">
                  <c:v>36.975086011265027</c:v>
                </c:pt>
                <c:pt idx="139">
                  <c:v>36.860141546662554</c:v>
                </c:pt>
                <c:pt idx="140">
                  <c:v>36.742954332476721</c:v>
                </c:pt>
                <c:pt idx="141">
                  <c:v>36.623542058880417</c:v>
                </c:pt>
                <c:pt idx="142">
                  <c:v>36.501924537696524</c:v>
                </c:pt>
                <c:pt idx="143">
                  <c:v>36.378123623267768</c:v>
                </c:pt>
                <c:pt idx="144">
                  <c:v>36.252163126419511</c:v>
                </c:pt>
                <c:pt idx="145">
                  <c:v>36.124068722215618</c:v>
                </c:pt>
                <c:pt idx="146">
                  <c:v>35.993867852240548</c:v>
                </c:pt>
                <c:pt idx="147">
                  <c:v>35.861589622164409</c:v>
                </c:pt>
                <c:pt idx="148">
                  <c:v>35.727264695362976</c:v>
                </c:pt>
                <c:pt idx="149">
                  <c:v>35.590925183368697</c:v>
                </c:pt>
                <c:pt idx="150">
                  <c:v>35.452604533925452</c:v>
                </c:pt>
                <c:pt idx="151">
                  <c:v>35.312337417405828</c:v>
                </c:pt>
                <c:pt idx="152">
                  <c:v>35.170159612332171</c:v>
                </c:pt>
                <c:pt idx="153">
                  <c:v>35.026107890711813</c:v>
                </c:pt>
                <c:pt idx="154">
                  <c:v>34.880219903867072</c:v>
                </c:pt>
                <c:pt idx="155">
                  <c:v>34.732534069397026</c:v>
                </c:pt>
                <c:pt idx="156">
                  <c:v>34.583089459868887</c:v>
                </c:pt>
                <c:pt idx="157">
                  <c:v>34.431925693786049</c:v>
                </c:pt>
                <c:pt idx="158">
                  <c:v>34.279082829332118</c:v>
                </c:pt>
                <c:pt idx="159">
                  <c:v>34.124601261338256</c:v>
                </c:pt>
                <c:pt idx="160">
                  <c:v>33.968521621865641</c:v>
                </c:pt>
                <c:pt idx="161">
                  <c:v>33.810884684746839</c:v>
                </c:pt>
                <c:pt idx="162">
                  <c:v>33.651731274371826</c:v>
                </c:pt>
                <c:pt idx="163">
                  <c:v>33.491102178957263</c:v>
                </c:pt>
                <c:pt idx="164">
                  <c:v>33.329038068485055</c:v>
                </c:pt>
                <c:pt idx="165">
                  <c:v>33.165579417449898</c:v>
                </c:pt>
                <c:pt idx="166">
                  <c:v>33.000766432510517</c:v>
                </c:pt>
                <c:pt idx="167">
                  <c:v>32.834638985096042</c:v>
                </c:pt>
                <c:pt idx="168">
                  <c:v>32.667236548980334</c:v>
                </c:pt>
                <c:pt idx="169">
                  <c:v>32.498598142802486</c:v>
                </c:pt>
                <c:pt idx="170">
                  <c:v>32.328762277476905</c:v>
                </c:pt>
                <c:pt idx="171">
                  <c:v>32.157766908409542</c:v>
                </c:pt>
                <c:pt idx="172">
                  <c:v>31.985649392409478</c:v>
                </c:pt>
                <c:pt idx="173">
                  <c:v>31.812446449164806</c:v>
                </c:pt>
                <c:pt idx="174">
                  <c:v>31.638194127130358</c:v>
                </c:pt>
                <c:pt idx="175">
                  <c:v>31.462927773661505</c:v>
                </c:pt>
                <c:pt idx="176">
                  <c:v>31.286682009213141</c:v>
                </c:pt>
                <c:pt idx="177">
                  <c:v>31.109490705414331</c:v>
                </c:pt>
                <c:pt idx="178">
                  <c:v>30.931386966821091</c:v>
                </c:pt>
                <c:pt idx="179">
                  <c:v>30.752403116144617</c:v>
                </c:pt>
                <c:pt idx="180">
                  <c:v>30.572570682748562</c:v>
                </c:pt>
                <c:pt idx="181">
                  <c:v>30.391920394210167</c:v>
                </c:pt>
                <c:pt idx="182">
                  <c:v>30.210482170737954</c:v>
                </c:pt>
                <c:pt idx="183">
                  <c:v>30.028285122242536</c:v>
                </c:pt>
                <c:pt idx="184">
                  <c:v>29.845357547860591</c:v>
                </c:pt>
                <c:pt idx="185">
                  <c:v>29.661726937736951</c:v>
                </c:pt>
                <c:pt idx="186">
                  <c:v>29.477419976873684</c:v>
                </c:pt>
                <c:pt idx="187">
                  <c:v>29.292462550864666</c:v>
                </c:pt>
                <c:pt idx="188">
                  <c:v>29.106879753337672</c:v>
                </c:pt>
                <c:pt idx="189">
                  <c:v>28.920695894936873</c:v>
                </c:pt>
                <c:pt idx="190">
                  <c:v>28.733934513684623</c:v>
                </c:pt>
                <c:pt idx="191">
                  <c:v>28.546618386569911</c:v>
                </c:pt>
                <c:pt idx="192">
                  <c:v>28.358769542219754</c:v>
                </c:pt>
                <c:pt idx="193">
                  <c:v>28.170409274518896</c:v>
                </c:pt>
                <c:pt idx="194">
                  <c:v>27.981558157048738</c:v>
                </c:pt>
                <c:pt idx="195">
                  <c:v>27.792236058229818</c:v>
                </c:pt>
                <c:pt idx="196">
                  <c:v>27.602462157054273</c:v>
                </c:pt>
                <c:pt idx="197">
                  <c:v>27.412254959308108</c:v>
                </c:pt>
                <c:pt idx="198">
                  <c:v>27.221632314187701</c:v>
                </c:pt>
                <c:pt idx="199">
                  <c:v>27.030611431223313</c:v>
                </c:pt>
                <c:pt idx="200">
                  <c:v>26.839208897430041</c:v>
                </c:pt>
                <c:pt idx="201">
                  <c:v>26.647440694613024</c:v>
                </c:pt>
                <c:pt idx="202">
                  <c:v>26.455322216760795</c:v>
                </c:pt>
                <c:pt idx="203">
                  <c:v>26.262868287465764</c:v>
                </c:pt>
                <c:pt idx="204">
                  <c:v>26.070093177319102</c:v>
                </c:pt>
                <c:pt idx="205">
                  <c:v>25.87701062122904</c:v>
                </c:pt>
                <c:pt idx="206">
                  <c:v>25.683633835622146</c:v>
                </c:pt>
                <c:pt idx="207">
                  <c:v>25.489975535485684</c:v>
                </c:pt>
                <c:pt idx="208">
                  <c:v>25.296047951220469</c:v>
                </c:pt>
                <c:pt idx="209">
                  <c:v>25.101862845271551</c:v>
                </c:pt>
                <c:pt idx="210">
                  <c:v>24.907431528512749</c:v>
                </c:pt>
                <c:pt idx="211">
                  <c:v>24.712764876362691</c:v>
                </c:pt>
                <c:pt idx="212">
                  <c:v>24.517873344613395</c:v>
                </c:pt>
                <c:pt idx="213">
                  <c:v>24.322766984955024</c:v>
                </c:pt>
                <c:pt idx="214">
                  <c:v>24.127455460186617</c:v>
                </c:pt>
                <c:pt idx="215">
                  <c:v>23.931948059099419</c:v>
                </c:pt>
                <c:pt idx="216">
                  <c:v>23.736253711027452</c:v>
                </c:pt>
                <c:pt idx="217">
                  <c:v>23.540381000058996</c:v>
                </c:pt>
                <c:pt idx="218">
                  <c:v>23.344338178905577</c:v>
                </c:pt>
                <c:pt idx="219">
                  <c:v>23.14813318242615</c:v>
                </c:pt>
                <c:pt idx="220">
                  <c:v>22.951773640807517</c:v>
                </c:pt>
                <c:pt idx="221">
                  <c:v>22.755266892400911</c:v>
                </c:pt>
                <c:pt idx="222">
                  <c:v>22.558619996218809</c:v>
                </c:pt>
                <c:pt idx="223">
                  <c:v>22.361839744094198</c:v>
                </c:pt>
                <c:pt idx="224">
                  <c:v>22.164932672508854</c:v>
                </c:pt>
                <c:pt idx="225">
                  <c:v>21.967905074095079</c:v>
                </c:pt>
                <c:pt idx="226">
                  <c:v>21.770763008817788</c:v>
                </c:pt>
                <c:pt idx="227">
                  <c:v>21.573512314845274</c:v>
                </c:pt>
                <c:pt idx="228">
                  <c:v>21.376158619114598</c:v>
                </c:pt>
                <c:pt idx="229">
                  <c:v>21.178707347602142</c:v>
                </c:pt>
                <c:pt idx="230">
                  <c:v>20.981163735307405</c:v>
                </c:pt>
                <c:pt idx="231">
                  <c:v>20.78353283595866</c:v>
                </c:pt>
                <c:pt idx="232">
                  <c:v>20.585819531452223</c:v>
                </c:pt>
                <c:pt idx="233">
                  <c:v>20.388028541032753</c:v>
                </c:pt>
                <c:pt idx="234">
                  <c:v>20.190164430227405</c:v>
                </c:pt>
                <c:pt idx="235">
                  <c:v>19.992231619543141</c:v>
                </c:pt>
                <c:pt idx="236">
                  <c:v>19.79423439293652</c:v>
                </c:pt>
                <c:pt idx="237">
                  <c:v>19.596176906070074</c:v>
                </c:pt>
                <c:pt idx="238">
                  <c:v>19.398063194362663</c:v>
                </c:pt>
                <c:pt idx="239">
                  <c:v>19.199897180847696</c:v>
                </c:pt>
                <c:pt idx="240">
                  <c:v>19.001682683847683</c:v>
                </c:pt>
                <c:pt idx="241">
                  <c:v>18.803423424478595</c:v>
                </c:pt>
                <c:pt idx="242">
                  <c:v>18.605123033993468</c:v>
                </c:pt>
                <c:pt idx="243">
                  <c:v>18.406785060977107</c:v>
                </c:pt>
                <c:pt idx="244">
                  <c:v>18.208412978403171</c:v>
                </c:pt>
                <c:pt idx="245">
                  <c:v>18.010010190564088</c:v>
                </c:pt>
                <c:pt idx="246">
                  <c:v>17.811580039886024</c:v>
                </c:pt>
                <c:pt idx="247">
                  <c:v>17.61312581363892</c:v>
                </c:pt>
                <c:pt idx="248">
                  <c:v>17.41465075055374</c:v>
                </c:pt>
                <c:pt idx="249">
                  <c:v>17.216158047357254</c:v>
                </c:pt>
                <c:pt idx="250">
                  <c:v>17.017650865235975</c:v>
                </c:pt>
                <c:pt idx="251">
                  <c:v>16.819132336240038</c:v>
                </c:pt>
                <c:pt idx="252">
                  <c:v>16.620605569638553</c:v>
                </c:pt>
                <c:pt idx="253">
                  <c:v>16.422073658236833</c:v>
                </c:pt>
                <c:pt idx="254">
                  <c:v>16.223539684667685</c:v>
                </c:pt>
                <c:pt idx="255">
                  <c:v>16.025006727666401</c:v>
                </c:pt>
                <c:pt idx="256">
                  <c:v>15.82647786834219</c:v>
                </c:pt>
                <c:pt idx="257">
                  <c:v>15.627956196456109</c:v>
                </c:pt>
                <c:pt idx="258">
                  <c:v>15.429444816716764</c:v>
                </c:pt>
                <c:pt idx="259">
                  <c:v>15.230946855105898</c:v>
                </c:pt>
                <c:pt idx="260">
                  <c:v>15.0324654652437</c:v>
                </c:pt>
                <c:pt idx="261">
                  <c:v>14.834003834806566</c:v>
                </c:pt>
                <c:pt idx="262">
                  <c:v>14.635565192007808</c:v>
                </c:pt>
                <c:pt idx="263">
                  <c:v>14.437152812152833</c:v>
                </c:pt>
                <c:pt idx="264">
                  <c:v>14.238770024280729</c:v>
                </c:pt>
                <c:pt idx="265">
                  <c:v>14.040420217903344</c:v>
                </c:pt>
                <c:pt idx="266">
                  <c:v>13.842106849853561</c:v>
                </c:pt>
                <c:pt idx="267">
                  <c:v>13.643833451255301</c:v>
                </c:pt>
                <c:pt idx="268">
                  <c:v>13.445603634625238</c:v>
                </c:pt>
                <c:pt idx="269">
                  <c:v>13.247421101120631</c:v>
                </c:pt>
                <c:pt idx="270">
                  <c:v>13.049289647942947</c:v>
                </c:pt>
                <c:pt idx="271">
                  <c:v>12.851213175910683</c:v>
                </c:pt>
                <c:pt idx="272">
                  <c:v>12.653195697213256</c:v>
                </c:pt>
                <c:pt idx="273">
                  <c:v>12.455241343357846</c:v>
                </c:pt>
                <c:pt idx="274">
                  <c:v>12.257354373322366</c:v>
                </c:pt>
                <c:pt idx="275">
                  <c:v>12.059539181925526</c:v>
                </c:pt>
                <c:pt idx="276">
                  <c:v>11.861800308428045</c:v>
                </c:pt>
                <c:pt idx="277">
                  <c:v>11.664142445376386</c:v>
                </c:pt>
                <c:pt idx="278">
                  <c:v>11.466570447701647</c:v>
                </c:pt>
                <c:pt idx="279">
                  <c:v>11.269089342086902</c:v>
                </c:pt>
                <c:pt idx="280">
                  <c:v>11.071704336613825</c:v>
                </c:pt>
                <c:pt idx="281">
                  <c:v>10.874420830703793</c:v>
                </c:pt>
                <c:pt idx="282">
                  <c:v>10.677244425362213</c:v>
                </c:pt>
                <c:pt idx="283">
                  <c:v>10.480180933742291</c:v>
                </c:pt>
                <c:pt idx="284">
                  <c:v>10.283236392036732</c:v>
                </c:pt>
                <c:pt idx="285">
                  <c:v>10.086417070711819</c:v>
                </c:pt>
                <c:pt idx="286">
                  <c:v>9.8897294860949803</c:v>
                </c:pt>
                <c:pt idx="287">
                  <c:v>9.693180412326118</c:v>
                </c:pt>
                <c:pt idx="288">
                  <c:v>9.4967768936852934</c:v>
                </c:pt>
                <c:pt idx="289">
                  <c:v>9.3005262573064122</c:v>
                </c:pt>
                <c:pt idx="290">
                  <c:v>9.1044361262866733</c:v>
                </c:pt>
                <c:pt idx="291">
                  <c:v>8.9085144332033739</c:v>
                </c:pt>
                <c:pt idx="292">
                  <c:v>8.7127694340428299</c:v>
                </c:pt>
                <c:pt idx="293">
                  <c:v>8.5172097225543411</c:v>
                </c:pt>
                <c:pt idx="294">
                  <c:v>8.3218442450318975</c:v>
                </c:pt>
                <c:pt idx="295">
                  <c:v>8.1266823155321219</c:v>
                </c:pt>
                <c:pt idx="296">
                  <c:v>7.9317336315329632</c:v>
                </c:pt>
                <c:pt idx="297">
                  <c:v>7.7370082900355914</c:v>
                </c:pt>
                <c:pt idx="298">
                  <c:v>7.5425168041129078</c:v>
                </c:pt>
                <c:pt idx="299">
                  <c:v>7.3482701199038996</c:v>
                </c:pt>
                <c:pt idx="300">
                  <c:v>7.1542796340529353</c:v>
                </c:pt>
                <c:pt idx="301">
                  <c:v>6.960557211590201</c:v>
                </c:pt>
                <c:pt idx="302">
                  <c:v>6.7671152042485492</c:v>
                </c:pt>
                <c:pt idx="303">
                  <c:v>6.5739664692060344</c:v>
                </c:pt>
                <c:pt idx="304">
                  <c:v>6.3811243882462723</c:v>
                </c:pt>
                <c:pt idx="305">
                  <c:v>6.1886028873204424</c:v>
                </c:pt>
                <c:pt idx="306">
                  <c:v>5.9964164564942717</c:v>
                </c:pt>
                <c:pt idx="307">
                  <c:v>5.8045801702601612</c:v>
                </c:pt>
                <c:pt idx="308">
                  <c:v>5.6131097081886603</c:v>
                </c:pt>
                <c:pt idx="309">
                  <c:v>5.4220213758915001</c:v>
                </c:pt>
                <c:pt idx="310">
                  <c:v>5.231332126262954</c:v>
                </c:pt>
                <c:pt idx="311">
                  <c:v>5.0410595809614787</c:v>
                </c:pt>
                <c:pt idx="312">
                  <c:v>4.8512220520884632</c:v>
                </c:pt>
                <c:pt idx="313">
                  <c:v>4.6618385640166551</c:v>
                </c:pt>
                <c:pt idx="314">
                  <c:v>4.4729288753132179</c:v>
                </c:pt>
                <c:pt idx="315">
                  <c:v>4.2845135006970585</c:v>
                </c:pt>
                <c:pt idx="316">
                  <c:v>4.0966137329642294</c:v>
                </c:pt>
                <c:pt idx="317">
                  <c:v>3.9092516648078397</c:v>
                </c:pt>
                <c:pt idx="318">
                  <c:v>3.7224502104510422</c:v>
                </c:pt>
                <c:pt idx="319">
                  <c:v>3.5362331270061302</c:v>
                </c:pt>
                <c:pt idx="320">
                  <c:v>3.3506250354623708</c:v>
                </c:pt>
                <c:pt idx="321">
                  <c:v>3.1656514412011449</c:v>
                </c:pt>
                <c:pt idx="322">
                  <c:v>2.9813387539240619</c:v>
                </c:pt>
                <c:pt idx="323">
                  <c:v>2.7977143068760295</c:v>
                </c:pt>
                <c:pt idx="324">
                  <c:v>2.6148063752324764</c:v>
                </c:pt>
                <c:pt idx="325">
                  <c:v>2.4326441935164347</c:v>
                </c:pt>
                <c:pt idx="326">
                  <c:v>2.2512579718978523</c:v>
                </c:pt>
                <c:pt idx="327">
                  <c:v>2.0706789112225281</c:v>
                </c:pt>
                <c:pt idx="328">
                  <c:v>1.8909392166089276</c:v>
                </c:pt>
                <c:pt idx="329">
                  <c:v>1.7120721094428906</c:v>
                </c:pt>
                <c:pt idx="330">
                  <c:v>1.5341118375955178</c:v>
                </c:pt>
                <c:pt idx="331">
                  <c:v>1.3570936836785708</c:v>
                </c:pt>
                <c:pt idx="332">
                  <c:v>1.1810539711507213</c:v>
                </c:pt>
                <c:pt idx="333">
                  <c:v>1.0060300680792276</c:v>
                </c:pt>
                <c:pt idx="334">
                  <c:v>0.83206038836054286</c:v>
                </c:pt>
                <c:pt idx="335">
                  <c:v>0.65918439019890929</c:v>
                </c:pt>
                <c:pt idx="336">
                  <c:v>0.48744257164219995</c:v>
                </c:pt>
                <c:pt idx="337">
                  <c:v>0.31687646297388716</c:v>
                </c:pt>
                <c:pt idx="338">
                  <c:v>0.14752861576385215</c:v>
                </c:pt>
                <c:pt idx="339">
                  <c:v>-2.0557411615758359E-2</c:v>
                </c:pt>
                <c:pt idx="340">
                  <c:v>-0.18733707219699999</c:v>
                </c:pt>
                <c:pt idx="341">
                  <c:v>-0.35276485252028045</c:v>
                </c:pt>
                <c:pt idx="342">
                  <c:v>-0.51679429880370598</c:v>
                </c:pt>
                <c:pt idx="343">
                  <c:v>-0.67937804732592277</c:v>
                </c:pt>
                <c:pt idx="344">
                  <c:v>-0.84046785915597355</c:v>
                </c:pt>
                <c:pt idx="345">
                  <c:v>-1.0000146593413688</c:v>
                </c:pt>
                <c:pt idx="346">
                  <c:v>-1.157968580642881</c:v>
                </c:pt>
                <c:pt idx="347">
                  <c:v>-1.314279011872828</c:v>
                </c:pt>
                <c:pt idx="348">
                  <c:v>-1.4688946508713134</c:v>
                </c:pt>
                <c:pt idx="349">
                  <c:v>-1.6217635621117914</c:v>
                </c:pt>
                <c:pt idx="350">
                  <c:v>-1.772833238897894</c:v>
                </c:pt>
                <c:pt idx="351">
                  <c:v>-1.9220506700695075</c:v>
                </c:pt>
                <c:pt idx="352">
                  <c:v>-2.0693624110966775</c:v>
                </c:pt>
                <c:pt idx="353">
                  <c:v>-2.2147146593940996</c:v>
                </c:pt>
                <c:pt idx="354">
                  <c:v>-2.3580533336434732</c:v>
                </c:pt>
                <c:pt idx="355">
                  <c:v>-2.4993241568632252</c:v>
                </c:pt>
                <c:pt idx="356">
                  <c:v>-2.6384727429181867</c:v>
                </c:pt>
                <c:pt idx="357">
                  <c:v>-2.7754446861115638</c:v>
                </c:pt>
                <c:pt idx="358">
                  <c:v>-2.9101856534570847</c:v>
                </c:pt>
                <c:pt idx="359">
                  <c:v>-3.0426414791800949</c:v>
                </c:pt>
                <c:pt idx="360">
                  <c:v>-3.1727582609550904</c:v>
                </c:pt>
                <c:pt idx="361">
                  <c:v>-3.3004824573459581</c:v>
                </c:pt>
                <c:pt idx="362">
                  <c:v>-3.425760985878485</c:v>
                </c:pt>
                <c:pt idx="363">
                  <c:v>-3.5485413211437651</c:v>
                </c:pt>
                <c:pt idx="364">
                  <c:v>-3.668771592305637</c:v>
                </c:pt>
                <c:pt idx="365">
                  <c:v>-3.7864006793660234</c:v>
                </c:pt>
                <c:pt idx="366">
                  <c:v>-3.9013783075316635</c:v>
                </c:pt>
                <c:pt idx="367">
                  <c:v>-4.0136551390207567</c:v>
                </c:pt>
                <c:pt idx="368">
                  <c:v>-4.1231828616561605</c:v>
                </c:pt>
                <c:pt idx="369">
                  <c:v>-4.2299142736040283</c:v>
                </c:pt>
                <c:pt idx="370">
                  <c:v>-4.3338033636421649</c:v>
                </c:pt>
                <c:pt idx="371">
                  <c:v>-4.4348053863758112</c:v>
                </c:pt>
                <c:pt idx="372">
                  <c:v>-4.5328769318630027</c:v>
                </c:pt>
                <c:pt idx="373">
                  <c:v>-4.6279759891610599</c:v>
                </c:pt>
                <c:pt idx="374">
                  <c:v>-4.7200620033707379</c:v>
                </c:pt>
                <c:pt idx="375">
                  <c:v>-4.8090959258211701</c:v>
                </c:pt>
                <c:pt idx="376">
                  <c:v>-4.8950402571165705</c:v>
                </c:pt>
                <c:pt idx="377">
                  <c:v>-4.9778590828482496</c:v>
                </c:pt>
                <c:pt idx="378">
                  <c:v>-5.0575181018625077</c:v>
                </c:pt>
                <c:pt idx="379">
                  <c:v>-5.1339846470681474</c:v>
                </c:pt>
                <c:pt idx="380">
                  <c:v>-5.2072276988583033</c:v>
                </c:pt>
                <c:pt idx="381">
                  <c:v>-5.2772178913175534</c:v>
                </c:pt>
                <c:pt idx="382">
                  <c:v>-5.3439275114779399</c:v>
                </c:pt>
                <c:pt idx="383">
                  <c:v>-5.4073304919763254</c:v>
                </c:pt>
                <c:pt idx="384">
                  <c:v>-5.4674023975544817</c:v>
                </c:pt>
                <c:pt idx="385">
                  <c:v>-5.5241204059204874</c:v>
                </c:pt>
                <c:pt idx="386">
                  <c:v>-5.5774632835657947</c:v>
                </c:pt>
                <c:pt idx="387">
                  <c:v>-5.6274113571940152</c:v>
                </c:pt>
                <c:pt idx="388">
                  <c:v>-5.6739464814737692</c:v>
                </c:pt>
                <c:pt idx="389">
                  <c:v>-5.7170520038699424</c:v>
                </c:pt>
                <c:pt idx="390">
                  <c:v>-5.7567127273400249</c:v>
                </c:pt>
                <c:pt idx="391">
                  <c:v>-5.7929148717007406</c:v>
                </c:pt>
                <c:pt idx="392">
                  <c:v>-5.8256460344768861</c:v>
                </c:pt>
                <c:pt idx="393">
                  <c:v>-5.8548951520370496</c:v>
                </c:pt>
                <c:pt idx="394">
                  <c:v>-5.88065246180168</c:v>
                </c:pt>
                <c:pt idx="395">
                  <c:v>-5.9029094662757808</c:v>
                </c:pt>
                <c:pt idx="396">
                  <c:v>-5.9216588996149513</c:v>
                </c:pt>
                <c:pt idx="397">
                  <c:v>-5.9368946973760508</c:v>
                </c:pt>
                <c:pt idx="398">
                  <c:v>-5.94861197003853</c:v>
                </c:pt>
                <c:pt idx="399">
                  <c:v>-5.9568069808048572</c:v>
                </c:pt>
                <c:pt idx="400">
                  <c:v>-5.9614771281057912</c:v>
                </c:pt>
                <c:pt idx="401">
                  <c:v>-5.962620933142599</c:v>
                </c:pt>
                <c:pt idx="402">
                  <c:v>-5.9602380327044511</c:v>
                </c:pt>
                <c:pt idx="403">
                  <c:v>-5.9543291773962279</c:v>
                </c:pt>
                <c:pt idx="404">
                  <c:v>-5.9448962353108019</c:v>
                </c:pt>
                <c:pt idx="405">
                  <c:v>-5.9319422010755947</c:v>
                </c:pt>
                <c:pt idx="406">
                  <c:v>-5.9154712101021456</c:v>
                </c:pt>
                <c:pt idx="407">
                  <c:v>-5.8954885577669849</c:v>
                </c:pt>
                <c:pt idx="408">
                  <c:v>-5.87200072315746</c:v>
                </c:pt>
                <c:pt idx="409">
                  <c:v>-5.8450153969280185</c:v>
                </c:pt>
                <c:pt idx="410">
                  <c:v>-5.8145415127292255</c:v>
                </c:pt>
                <c:pt idx="411">
                  <c:v>-5.7805892815999478</c:v>
                </c:pt>
                <c:pt idx="412">
                  <c:v>-5.7431702286498076</c:v>
                </c:pt>
                <c:pt idx="413">
                  <c:v>-5.702297231307015</c:v>
                </c:pt>
                <c:pt idx="414">
                  <c:v>-5.6579845583650981</c:v>
                </c:pt>
                <c:pt idx="415">
                  <c:v>-5.6102479090364312</c:v>
                </c:pt>
                <c:pt idx="416">
                  <c:v>-5.5591044512022538</c:v>
                </c:pt>
                <c:pt idx="417">
                  <c:v>-5.5045728580493227</c:v>
                </c:pt>
                <c:pt idx="418">
                  <c:v>-5.4466733422923035</c:v>
                </c:pt>
                <c:pt idx="419">
                  <c:v>-5.3854276872055262</c:v>
                </c:pt>
                <c:pt idx="420">
                  <c:v>-5.3208592737230189</c:v>
                </c:pt>
                <c:pt idx="421">
                  <c:v>-5.2529931029129937</c:v>
                </c:pt>
                <c:pt idx="422">
                  <c:v>-5.1818558131915324</c:v>
                </c:pt>
                <c:pt idx="423">
                  <c:v>-5.1074756917063633</c:v>
                </c:pt>
                <c:pt idx="424">
                  <c:v>-5.0298826793986029</c:v>
                </c:pt>
                <c:pt idx="425">
                  <c:v>-4.9491083693320714</c:v>
                </c:pt>
                <c:pt idx="426">
                  <c:v>-4.8651859979677035</c:v>
                </c:pt>
                <c:pt idx="427">
                  <c:v>-4.7781504291522143</c:v>
                </c:pt>
                <c:pt idx="428">
                  <c:v>-4.688038130684224</c:v>
                </c:pt>
                <c:pt idx="429">
                  <c:v>-4.594887143413569</c:v>
                </c:pt>
                <c:pt idx="430">
                  <c:v>-4.4987370429252049</c:v>
                </c:pt>
                <c:pt idx="431">
                  <c:v>-4.3996288939462662</c:v>
                </c:pt>
                <c:pt idx="432">
                  <c:v>-4.2976051977034802</c:v>
                </c:pt>
                <c:pt idx="433">
                  <c:v>-4.1927098325374637</c:v>
                </c:pt>
                <c:pt idx="434">
                  <c:v>-4.0849879881549986</c:v>
                </c:pt>
                <c:pt idx="435">
                  <c:v>-3.9744860939669087</c:v>
                </c:pt>
                <c:pt idx="436">
                  <c:v>-3.8612517420177737</c:v>
                </c:pt>
                <c:pt idx="437">
                  <c:v>-3.7453336050620352</c:v>
                </c:pt>
                <c:pt idx="438">
                  <c:v>-3.6267813503821267</c:v>
                </c:pt>
                <c:pt idx="439">
                  <c:v>-3.5056455499734889</c:v>
                </c:pt>
                <c:pt idx="440">
                  <c:v>-3.3819775877438687</c:v>
                </c:pt>
                <c:pt idx="441">
                  <c:v>-3.2558295643823794</c:v>
                </c:pt>
                <c:pt idx="442">
                  <c:v>-3.1272542005615649</c:v>
                </c:pt>
                <c:pt idx="443">
                  <c:v>-2.9963047391238491</c:v>
                </c:pt>
                <c:pt idx="444">
                  <c:v>-2.863034846893294</c:v>
                </c:pt>
                <c:pt idx="445">
                  <c:v>-2.7274985167323864</c:v>
                </c:pt>
                <c:pt idx="446">
                  <c:v>-2.5897499704323708</c:v>
                </c:pt>
                <c:pt idx="447">
                  <c:v>-2.44984356299803</c:v>
                </c:pt>
                <c:pt idx="448">
                  <c:v>-2.3078336888444078</c:v>
                </c:pt>
                <c:pt idx="449">
                  <c:v>-2.1637746903851136</c:v>
                </c:pt>
                <c:pt idx="450">
                  <c:v>-2.0177207694449688</c:v>
                </c:pt>
                <c:pt idx="451">
                  <c:v>-1.8697259018856049</c:v>
                </c:pt>
                <c:pt idx="452">
                  <c:v>-1.7198437557814144</c:v>
                </c:pt>
                <c:pt idx="453">
                  <c:v>-1.5681276134390831</c:v>
                </c:pt>
                <c:pt idx="454">
                  <c:v>-1.4146302975029115</c:v>
                </c:pt>
                <c:pt idx="455">
                  <c:v>-1.259404101342501</c:v>
                </c:pt>
                <c:pt idx="456">
                  <c:v>-1.1025007238745717</c:v>
                </c:pt>
                <c:pt idx="457">
                  <c:v>-0.94397120892446296</c:v>
                </c:pt>
                <c:pt idx="458">
                  <c:v>-0.78386588919543987</c:v>
                </c:pt>
                <c:pt idx="459">
                  <c:v>-0.62223433487224267</c:v>
                </c:pt>
                <c:pt idx="460">
                  <c:v>-0.45912530685065817</c:v>
                </c:pt>
                <c:pt idx="461">
                  <c:v>-0.29458671455282215</c:v>
                </c:pt>
                <c:pt idx="462">
                  <c:v>-0.12866557825857283</c:v>
                </c:pt>
                <c:pt idx="463">
                  <c:v>3.8592004144880475E-2</c:v>
                </c:pt>
                <c:pt idx="464">
                  <c:v>0.20714088611322759</c:v>
                </c:pt>
                <c:pt idx="465">
                  <c:v>0.37693689723422807</c:v>
                </c:pt>
                <c:pt idx="466">
                  <c:v>0.54793686401336705</c:v>
                </c:pt>
                <c:pt idx="467">
                  <c:v>0.72009862682407921</c:v>
                </c:pt>
                <c:pt idx="468">
                  <c:v>0.89338105320391126</c:v>
                </c:pt>
                <c:pt idx="469">
                  <c:v>1.067744047687686</c:v>
                </c:pt>
                <c:pt idx="470">
                  <c:v>1.2431485583698523</c:v>
                </c:pt>
                <c:pt idx="471">
                  <c:v>1.4195565803997823</c:v>
                </c:pt>
                <c:pt idx="472">
                  <c:v>1.596931156606509</c:v>
                </c:pt>
                <c:pt idx="473">
                  <c:v>1.7752363754572196</c:v>
                </c:pt>
                <c:pt idx="474">
                  <c:v>1.9544373665489623</c:v>
                </c:pt>
                <c:pt idx="475">
                  <c:v>2.1345002938282973</c:v>
                </c:pt>
                <c:pt idx="476">
                  <c:v>2.3153923467334177</c:v>
                </c:pt>
                <c:pt idx="477">
                  <c:v>2.4970817294445031</c:v>
                </c:pt>
                <c:pt idx="478">
                  <c:v>2.6795376484248234</c:v>
                </c:pt>
                <c:pt idx="479">
                  <c:v>2.8627302984249647</c:v>
                </c:pt>
                <c:pt idx="480">
                  <c:v>3.0466308471193706</c:v>
                </c:pt>
                <c:pt idx="481">
                  <c:v>3.231211418532181</c:v>
                </c:pt>
                <c:pt idx="482">
                  <c:v>3.4164450754052709</c:v>
                </c:pt>
                <c:pt idx="483">
                  <c:v>3.602305800650079</c:v>
                </c:pt>
                <c:pt idx="484">
                  <c:v>3.7887684780172664</c:v>
                </c:pt>
                <c:pt idx="485">
                  <c:v>3.9758088721118359</c:v>
                </c:pt>
                <c:pt idx="486">
                  <c:v>4.1634036078691157</c:v>
                </c:pt>
                <c:pt idx="487">
                  <c:v>4.3515301496028922</c:v>
                </c:pt>
                <c:pt idx="488">
                  <c:v>4.5401667797253111</c:v>
                </c:pt>
                <c:pt idx="489">
                  <c:v>4.7292925772335668</c:v>
                </c:pt>
                <c:pt idx="490">
                  <c:v>4.9188873960474293</c:v>
                </c:pt>
                <c:pt idx="491">
                  <c:v>5.1089318432783957</c:v>
                </c:pt>
                <c:pt idx="492">
                  <c:v>5.2994072574997828</c:v>
                </c:pt>
                <c:pt idx="493">
                  <c:v>5.4902956870844486</c:v>
                </c:pt>
                <c:pt idx="494">
                  <c:v>5.6815798686675691</c:v>
                </c:pt>
                <c:pt idx="495">
                  <c:v>5.8732432057880164</c:v>
                </c:pt>
                <c:pt idx="496">
                  <c:v>6.0652697477545159</c:v>
                </c:pt>
                <c:pt idx="497">
                  <c:v>6.2576441687787021</c:v>
                </c:pt>
                <c:pt idx="498">
                  <c:v>6.4503517474116112</c:v>
                </c:pt>
                <c:pt idx="499">
                  <c:v>6.6433783463160712</c:v>
                </c:pt>
                <c:pt idx="500">
                  <c:v>6.8367103924021331</c:v>
                </c:pt>
                <c:pt idx="501">
                  <c:v>7.0303348573499571</c:v>
                </c:pt>
                <c:pt idx="502">
                  <c:v>7.2242392385401253</c:v>
                </c:pt>
                <c:pt idx="503">
                  <c:v>7.4184115404080311</c:v>
                </c:pt>
                <c:pt idx="504">
                  <c:v>7.6128402562357564</c:v>
                </c:pt>
                <c:pt idx="505">
                  <c:v>7.8075143503930944</c:v>
                </c:pt>
                <c:pt idx="506">
                  <c:v>8.0024232410347711</c:v>
                </c:pt>
                <c:pt idx="507">
                  <c:v>8.1975567832604277</c:v>
                </c:pt>
                <c:pt idx="508">
                  <c:v>8.3929052527412935</c:v>
                </c:pt>
                <c:pt idx="509">
                  <c:v>8.5884593298141976</c:v>
                </c:pt>
                <c:pt idx="510">
                  <c:v>8.7842100840443234</c:v>
                </c:pt>
                <c:pt idx="511">
                  <c:v>8.9801489592540413</c:v>
                </c:pt>
                <c:pt idx="512">
                  <c:v>9.1762677590159498</c:v>
                </c:pt>
                <c:pt idx="513">
                  <c:v>9.372558632604937</c:v>
                </c:pt>
                <c:pt idx="514">
                  <c:v>9.5690140614053263</c:v>
                </c:pt>
                <c:pt idx="515">
                  <c:v>9.7656268457654516</c:v>
                </c:pt>
                <c:pt idx="516">
                  <c:v>9.9623900922941875</c:v>
                </c:pt>
                <c:pt idx="517">
                  <c:v>10.15929720159088</c:v>
                </c:pt>
                <c:pt idx="518">
                  <c:v>10.356341856400517</c:v>
                </c:pt>
                <c:pt idx="519">
                  <c:v>10.553518010185465</c:v>
                </c:pt>
                <c:pt idx="520">
                  <c:v>10.750819876105211</c:v>
                </c:pt>
                <c:pt idx="521">
                  <c:v>10.948241916393332</c:v>
                </c:pt>
                <c:pt idx="522">
                  <c:v>11.145778832122293</c:v>
                </c:pt>
                <c:pt idx="523">
                  <c:v>11.343425553347291</c:v>
                </c:pt>
                <c:pt idx="524">
                  <c:v>11.541177229617208</c:v>
                </c:pt>
                <c:pt idx="525">
                  <c:v>11.739029220843513</c:v>
                </c:pt>
                <c:pt idx="526">
                  <c:v>11.936977088516239</c:v>
                </c:pt>
                <c:pt idx="527">
                  <c:v>12.13501658725761</c:v>
                </c:pt>
                <c:pt idx="528">
                  <c:v>12.33314365670129</c:v>
                </c:pt>
                <c:pt idx="529">
                  <c:v>12.53135441368997</c:v>
                </c:pt>
                <c:pt idx="530">
                  <c:v>12.729645144777455</c:v>
                </c:pt>
                <c:pt idx="531">
                  <c:v>12.928012299028209</c:v>
                </c:pt>
                <c:pt idx="532">
                  <c:v>13.126452481103454</c:v>
                </c:pt>
                <c:pt idx="533">
                  <c:v>13.324962444623766</c:v>
                </c:pt>
                <c:pt idx="534">
                  <c:v>13.523539085798948</c:v>
                </c:pt>
                <c:pt idx="535">
                  <c:v>13.72217943731642</c:v>
                </c:pt>
                <c:pt idx="536">
                  <c:v>13.920880662477146</c:v>
                </c:pt>
                <c:pt idx="537">
                  <c:v>14.119640049572844</c:v>
                </c:pt>
                <c:pt idx="538">
                  <c:v>14.318455006493117</c:v>
                </c:pt>
                <c:pt idx="539">
                  <c:v>14.517323055556069</c:v>
                </c:pt>
                <c:pt idx="540">
                  <c:v>14.716241828551858</c:v>
                </c:pt>
                <c:pt idx="541">
                  <c:v>14.915209061994492</c:v>
                </c:pt>
              </c:numCache>
            </c:numRef>
          </c:yVal>
          <c:smooth val="1"/>
          <c:extLst>
            <c:ext xmlns:c16="http://schemas.microsoft.com/office/drawing/2014/chart" uri="{C3380CC4-5D6E-409C-BE32-E72D297353CC}">
              <c16:uniqueId val="{00000000-AD4D-45E6-8C83-628FF672E0A1}"/>
            </c:ext>
          </c:extLst>
        </c:ser>
        <c:dLbls>
          <c:showLegendKey val="0"/>
          <c:showVal val="0"/>
          <c:showCatName val="0"/>
          <c:showSerName val="0"/>
          <c:showPercent val="0"/>
          <c:showBubbleSize val="0"/>
        </c:dLbls>
        <c:axId val="555304064"/>
        <c:axId val="555305984"/>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-2.7490701097092014</c:v>
                </c:pt>
                <c:pt idx="1">
                  <c:v>-2.8130031839923109</c:v>
                </c:pt>
                <c:pt idx="2">
                  <c:v>-2.8784182421648987</c:v>
                </c:pt>
                <c:pt idx="3">
                  <c:v>-2.9453492902503799</c:v>
                </c:pt>
                <c:pt idx="4">
                  <c:v>-3.0138310898386784</c:v>
                </c:pt>
                <c:pt idx="5">
                  <c:v>-3.0838991730988128</c:v>
                </c:pt>
                <c:pt idx="6">
                  <c:v>-3.1555898579586099</c:v>
                </c:pt>
                <c:pt idx="7">
                  <c:v>-3.2289402634439317</c:v>
                </c:pt>
                <c:pt idx="8">
                  <c:v>-3.3039883251668125</c:v>
                </c:pt>
                <c:pt idx="9">
                  <c:v>-3.3807728109523882</c:v>
                </c:pt>
                <c:pt idx="10">
                  <c:v>-3.4593333365914027</c:v>
                </c:pt>
                <c:pt idx="11">
                  <c:v>-3.5397103817060089</c:v>
                </c:pt>
                <c:pt idx="12">
                  <c:v>-3.6219453057130186</c:v>
                </c:pt>
                <c:pt idx="13">
                  <c:v>-3.7060803638687134</c:v>
                </c:pt>
                <c:pt idx="14">
                  <c:v>-3.7921587233769447</c:v>
                </c:pt>
                <c:pt idx="15">
                  <c:v>-3.8802244795410159</c:v>
                </c:pt>
                <c:pt idx="16">
                  <c:v>-3.9703226719372271</c:v>
                </c:pt>
                <c:pt idx="17">
                  <c:v>-4.0624993005867545</c:v>
                </c:pt>
                <c:pt idx="18">
                  <c:v>-4.1568013421004411</c:v>
                </c:pt>
                <c:pt idx="19">
                  <c:v>-4.2532767657672741</c:v>
                </c:pt>
                <c:pt idx="20">
                  <c:v>-4.3519745495573332</c:v>
                </c:pt>
                <c:pt idx="21">
                  <c:v>-4.4529446960053516</c:v>
                </c:pt>
                <c:pt idx="22">
                  <c:v>-4.5562382479388965</c:v>
                </c:pt>
                <c:pt idx="23">
                  <c:v>-4.661907304013102</c:v>
                </c:pt>
                <c:pt idx="24">
                  <c:v>-4.7700050340086513</c:v>
                </c:pt>
                <c:pt idx="25">
                  <c:v>-4.8805856938489347</c:v>
                </c:pt>
                <c:pt idx="26">
                  <c:v>-4.9937046402867695</c:v>
                </c:pt>
                <c:pt idx="27">
                  <c:v>-5.109418345207807</c:v>
                </c:pt>
                <c:pt idx="28">
                  <c:v>-5.2277844094945287</c:v>
                </c:pt>
                <c:pt idx="29">
                  <c:v>-5.3488615763889635</c:v>
                </c:pt>
                <c:pt idx="30">
                  <c:v>-5.4727097442893173</c:v>
                </c:pt>
                <c:pt idx="31">
                  <c:v>-5.5993899789099908</c:v>
                </c:pt>
                <c:pt idx="32">
                  <c:v>-5.7289645247287542</c:v>
                </c:pt>
                <c:pt idx="33">
                  <c:v>-5.8614968156421767</c:v>
                </c:pt>
                <c:pt idx="34">
                  <c:v>-5.9970514847409184</c:v>
                </c:pt>
                <c:pt idx="35">
                  <c:v>-6.135694373113294</c:v>
                </c:pt>
                <c:pt idx="36">
                  <c:v>-6.2774925375790689</c:v>
                </c:pt>
                <c:pt idx="37">
                  <c:v>-6.4225142572472702</c:v>
                </c:pt>
                <c:pt idx="38">
                  <c:v>-6.570829038786643</c:v>
                </c:pt>
                <c:pt idx="39">
                  <c:v>-6.7225076202879395</c:v>
                </c:pt>
                <c:pt idx="40">
                  <c:v>-6.8776219735928832</c:v>
                </c:pt>
                <c:pt idx="41">
                  <c:v>-7.0362453049531961</c:v>
                </c:pt>
                <c:pt idx="42">
                  <c:v>-7.1984520538765819</c:v>
                </c:pt>
                <c:pt idx="43">
                  <c:v>-7.3643178900080439</c:v>
                </c:pt>
                <c:pt idx="44">
                  <c:v>-7.5339197078849383</c:v>
                </c:pt>
                <c:pt idx="45">
                  <c:v>-7.7073356193953488</c:v>
                </c:pt>
                <c:pt idx="46">
                  <c:v>-7.8846449437601471</c:v>
                </c:pt>
                <c:pt idx="47">
                  <c:v>-8.0659281948465491</c:v>
                </c:pt>
                <c:pt idx="48">
                  <c:v>-8.2512670656154299</c:v>
                </c:pt>
                <c:pt idx="49">
                  <c:v>-8.4407444094887865</c:v>
                </c:pt>
                <c:pt idx="50">
                  <c:v>-8.6344442184161601</c:v>
                </c:pt>
                <c:pt idx="51">
                  <c:v>-8.8324515974069051</c:v>
                </c:pt>
                <c:pt idx="52">
                  <c:v>-9.0348527352829198</c:v>
                </c:pt>
                <c:pt idx="53">
                  <c:v>-9.2417348713976217</c:v>
                </c:pt>
                <c:pt idx="54">
                  <c:v>-9.4531862580514776</c:v>
                </c:pt>
                <c:pt idx="55">
                  <c:v>-9.6692961183270594</c:v>
                </c:pt>
                <c:pt idx="56">
                  <c:v>-9.8901545990521971</c:v>
                </c:pt>
                <c:pt idx="57">
                  <c:v>-10.115852718590439</c:v>
                </c:pt>
                <c:pt idx="58">
                  <c:v>-10.346482309144813</c:v>
                </c:pt>
                <c:pt idx="59">
                  <c:v>-10.582135953253774</c:v>
                </c:pt>
                <c:pt idx="60">
                  <c:v>-10.822906914144051</c:v>
                </c:pt>
                <c:pt idx="61">
                  <c:v>-11.068889059598108</c:v>
                </c:pt>
                <c:pt idx="62">
                  <c:v>-11.320176778986069</c:v>
                </c:pt>
                <c:pt idx="63">
                  <c:v>-11.576864893101186</c:v>
                </c:pt>
                <c:pt idx="64">
                  <c:v>-11.839048556434189</c:v>
                </c:pt>
                <c:pt idx="65">
                  <c:v>-12.106823151516325</c:v>
                </c:pt>
                <c:pt idx="66">
                  <c:v>-12.380284174956238</c:v>
                </c:pt>
                <c:pt idx="67">
                  <c:v>-12.659527114796237</c:v>
                </c:pt>
                <c:pt idx="68">
                  <c:v>-12.944647318812882</c:v>
                </c:pt>
                <c:pt idx="69">
                  <c:v>-13.235739853389921</c:v>
                </c:pt>
                <c:pt idx="70">
                  <c:v>-13.532899352598889</c:v>
                </c:pt>
                <c:pt idx="71">
                  <c:v>-13.836219857131804</c:v>
                </c:pt>
                <c:pt idx="72">
                  <c:v>-14.145794642740503</c:v>
                </c:pt>
                <c:pt idx="73">
                  <c:v>-14.461716037858551</c:v>
                </c:pt>
                <c:pt idx="74">
                  <c:v>-14.784075230096933</c:v>
                </c:pt>
                <c:pt idx="75">
                  <c:v>-15.112962061337919</c:v>
                </c:pt>
                <c:pt idx="76">
                  <c:v>-15.448464811172395</c:v>
                </c:pt>
                <c:pt idx="77">
                  <c:v>-15.790669968473798</c:v>
                </c:pt>
                <c:pt idx="78">
                  <c:v>-16.139661990934162</c:v>
                </c:pt>
                <c:pt idx="79">
                  <c:v>-16.495523052443918</c:v>
                </c:pt>
                <c:pt idx="80">
                  <c:v>-16.858332778249871</c:v>
                </c:pt>
                <c:pt idx="81">
                  <c:v>-17.228167967887817</c:v>
                </c:pt>
                <c:pt idx="82">
                  <c:v>-17.605102305961022</c:v>
                </c:pt>
                <c:pt idx="83">
                  <c:v>-17.989206060910622</c:v>
                </c:pt>
                <c:pt idx="84">
                  <c:v>-18.380545772012958</c:v>
                </c:pt>
                <c:pt idx="85">
                  <c:v>-18.779183924934138</c:v>
                </c:pt>
                <c:pt idx="86">
                  <c:v>-19.18517861627684</c:v>
                </c:pt>
                <c:pt idx="87">
                  <c:v>-19.598583207664657</c:v>
                </c:pt>
                <c:pt idx="88">
                  <c:v>-20.019445970034319</c:v>
                </c:pt>
                <c:pt idx="89">
                  <c:v>-20.447809718932184</c:v>
                </c:pt>
                <c:pt idx="90">
                  <c:v>-20.883711441752006</c:v>
                </c:pt>
                <c:pt idx="91">
                  <c:v>-21.327181917993315</c:v>
                </c:pt>
                <c:pt idx="92">
                  <c:v>-21.778245333774244</c:v>
                </c:pt>
                <c:pt idx="93">
                  <c:v>-22.236918891987777</c:v>
                </c:pt>
                <c:pt idx="94">
                  <c:v>-22.703212419656833</c:v>
                </c:pt>
                <c:pt idx="95">
                  <c:v>-23.177127974203774</c:v>
                </c:pt>
                <c:pt idx="96">
                  <c:v>-23.658659450524173</c:v>
                </c:pt>
                <c:pt idx="97">
                  <c:v>-24.147792190917652</c:v>
                </c:pt>
                <c:pt idx="98">
                  <c:v>-24.644502600097383</c:v>
                </c:pt>
                <c:pt idx="99">
                  <c:v>-25.14875776765999</c:v>
                </c:pt>
                <c:pt idx="100">
                  <c:v>-25.660515100552651</c:v>
                </c:pt>
                <c:pt idx="101">
                  <c:v>-26.179721968219731</c:v>
                </c:pt>
                <c:pt idx="102">
                  <c:v>-26.706315363243288</c:v>
                </c:pt>
                <c:pt idx="103">
                  <c:v>-27.240221580408939</c:v>
                </c:pt>
                <c:pt idx="104">
                  <c:v>-27.781355917225774</c:v>
                </c:pt>
                <c:pt idx="105">
                  <c:v>-28.329622399006087</c:v>
                </c:pt>
                <c:pt idx="106">
                  <c:v>-28.88491353165908</c:v>
                </c:pt>
                <c:pt idx="107">
                  <c:v>-29.447110085375328</c:v>
                </c:pt>
                <c:pt idx="108">
                  <c:v>-30.016080912366828</c:v>
                </c:pt>
                <c:pt idx="109">
                  <c:v>-30.591682801782653</c:v>
                </c:pt>
                <c:pt idx="110">
                  <c:v>-31.173760374836412</c:v>
                </c:pt>
                <c:pt idx="111">
                  <c:v>-31.762146023058285</c:v>
                </c:pt>
                <c:pt idx="112">
                  <c:v>-32.356659892420005</c:v>
                </c:pt>
                <c:pt idx="113">
                  <c:v>-32.957109915873396</c:v>
                </c:pt>
                <c:pt idx="114">
                  <c:v>-33.563291896591423</c:v>
                </c:pt>
                <c:pt idx="115">
                  <c:v>-34.174989643907011</c:v>
                </c:pt>
                <c:pt idx="116">
                  <c:v>-34.791975163607823</c:v>
                </c:pt>
                <c:pt idx="117">
                  <c:v>-35.414008903869131</c:v>
                </c:pt>
                <c:pt idx="118">
                  <c:v>-36.040840057691142</c:v>
                </c:pt>
                <c:pt idx="119">
                  <c:v>-36.672206922259548</c:v>
                </c:pt>
                <c:pt idx="120">
                  <c:v>-37.307837315170026</c:v>
                </c:pt>
                <c:pt idx="121">
                  <c:v>-37.947449046955882</c:v>
                </c:pt>
                <c:pt idx="122">
                  <c:v>-38.590750448836218</c:v>
                </c:pt>
                <c:pt idx="123">
                  <c:v>-39.237440954077258</c:v>
                </c:pt>
                <c:pt idx="124">
                  <c:v>-39.887211730816858</c:v>
                </c:pt>
                <c:pt idx="125">
                  <c:v>-40.539746363682575</c:v>
                </c:pt>
                <c:pt idx="126">
                  <c:v>-41.194721581013937</c:v>
                </c:pt>
                <c:pt idx="127">
                  <c:v>-41.851808024000135</c:v>
                </c:pt>
                <c:pt idx="128">
                  <c:v>-42.510671053590208</c:v>
                </c:pt>
                <c:pt idx="129">
                  <c:v>-43.170971590600168</c:v>
                </c:pt>
                <c:pt idx="130">
                  <c:v>-43.832366984057032</c:v>
                </c:pt>
                <c:pt idx="131">
                  <c:v>-44.49451190250079</c:v>
                </c:pt>
                <c:pt idx="132">
                  <c:v>-45.157059242685577</c:v>
                </c:pt>
                <c:pt idx="133">
                  <c:v>-45.819661049923312</c:v>
                </c:pt>
                <c:pt idx="134">
                  <c:v>-46.481969444166417</c:v>
                </c:pt>
                <c:pt idx="135">
                  <c:v>-47.14363754586455</c:v>
                </c:pt>
                <c:pt idx="136">
                  <c:v>-47.804320395629453</c:v>
                </c:pt>
                <c:pt idx="137">
                  <c:v>-48.463675861817478</c:v>
                </c:pt>
                <c:pt idx="138">
                  <c:v>-49.121365530281786</c:v>
                </c:pt>
                <c:pt idx="139">
                  <c:v>-49.777055570763345</c:v>
                </c:pt>
                <c:pt idx="140">
                  <c:v>-50.430417574659124</c:v>
                </c:pt>
                <c:pt idx="141">
                  <c:v>-51.081129359240165</c:v>
                </c:pt>
                <c:pt idx="142">
                  <c:v>-51.728875733782488</c:v>
                </c:pt>
                <c:pt idx="143">
                  <c:v>-52.373349223493278</c:v>
                </c:pt>
                <c:pt idx="144">
                  <c:v>-53.014250747595554</c:v>
                </c:pt>
                <c:pt idx="145">
                  <c:v>-53.651290248417844</c:v>
                </c:pt>
                <c:pt idx="146">
                  <c:v>-54.284187268862006</c:v>
                </c:pt>
                <c:pt idx="147">
                  <c:v>-54.912671476146727</c:v>
                </c:pt>
                <c:pt idx="148">
                  <c:v>-55.536483130260656</c:v>
                </c:pt>
                <c:pt idx="149">
                  <c:v>-56.15537349608779</c:v>
                </c:pt>
                <c:pt idx="150">
                  <c:v>-56.769105198685942</c:v>
                </c:pt>
                <c:pt idx="151">
                  <c:v>-57.377452521699951</c:v>
                </c:pt>
                <c:pt idx="152">
                  <c:v>-57.980201649365696</c:v>
                </c:pt>
                <c:pt idx="153">
                  <c:v>-58.577150853011098</c:v>
                </c:pt>
                <c:pt idx="154">
                  <c:v>-59.168110623361727</c:v>
                </c:pt>
                <c:pt idx="155">
                  <c:v>-59.752903750347279</c:v>
                </c:pt>
                <c:pt idx="156">
                  <c:v>-60.331365352425038</c:v>
                </c:pt>
                <c:pt idx="157">
                  <c:v>-60.903342857732405</c:v>
                </c:pt>
                <c:pt idx="158">
                  <c:v>-61.468695939631942</c:v>
                </c:pt>
                <c:pt idx="159">
                  <c:v>-62.027296409407697</c:v>
                </c:pt>
                <c:pt idx="160">
                  <c:v>-62.579028069042906</c:v>
                </c:pt>
                <c:pt idx="161">
                  <c:v>-63.123786527119663</c:v>
                </c:pt>
                <c:pt idx="162">
                  <c:v>-63.661478980970124</c:v>
                </c:pt>
                <c:pt idx="163">
                  <c:v>-64.192023968244087</c:v>
                </c:pt>
                <c:pt idx="164">
                  <c:v>-64.715351091071099</c:v>
                </c:pt>
                <c:pt idx="165">
                  <c:v>-65.231400715967865</c:v>
                </c:pt>
                <c:pt idx="166">
                  <c:v>-65.74012365259351</c:v>
                </c:pt>
                <c:pt idx="167">
                  <c:v>-66.241480814372821</c:v>
                </c:pt>
                <c:pt idx="168">
                  <c:v>-66.735442863912397</c:v>
                </c:pt>
                <c:pt idx="169">
                  <c:v>-67.221989846013329</c:v>
                </c:pt>
                <c:pt idx="170">
                  <c:v>-67.701110810953153</c:v>
                </c:pt>
                <c:pt idx="171">
                  <c:v>-68.172803430559568</c:v>
                </c:pt>
                <c:pt idx="172">
                  <c:v>-68.637073609448578</c:v>
                </c:pt>
                <c:pt idx="173">
                  <c:v>-69.093935093634698</c:v>
                </c:pt>
                <c:pt idx="174">
                  <c:v>-69.543409078551491</c:v>
                </c:pt>
                <c:pt idx="175">
                  <c:v>-69.985523818361756</c:v>
                </c:pt>
                <c:pt idx="176">
                  <c:v>-70.4203142382582</c:v>
                </c:pt>
                <c:pt idx="177">
                  <c:v>-70.847821551298139</c:v>
                </c:pt>
                <c:pt idx="178">
                  <c:v>-71.268092881150139</c:v>
                </c:pt>
                <c:pt idx="179">
                  <c:v>-71.681180891970342</c:v>
                </c:pt>
                <c:pt idx="180">
                  <c:v>-72.087143426483038</c:v>
                </c:pt>
                <c:pt idx="181">
                  <c:v>-72.48604315318542</c:v>
                </c:pt>
                <c:pt idx="182">
                  <c:v>-72.877947223468041</c:v>
                </c:pt>
                <c:pt idx="183">
                  <c:v>-73.262926939308073</c:v>
                </c:pt>
                <c:pt idx="184">
                  <c:v>-73.64105743207503</c:v>
                </c:pt>
                <c:pt idx="185">
                  <c:v>-74.012417352874394</c:v>
                </c:pt>
                <c:pt idx="186">
                  <c:v>-74.3770885747535</c:v>
                </c:pt>
                <c:pt idx="187">
                  <c:v>-74.735155906996553</c:v>
                </c:pt>
                <c:pt idx="188">
                  <c:v>-75.086706821652172</c:v>
                </c:pt>
                <c:pt idx="189">
                  <c:v>-75.431831192356185</c:v>
                </c:pt>
                <c:pt idx="190">
                  <c:v>-75.770621045444585</c:v>
                </c:pt>
                <c:pt idx="191">
                  <c:v>-76.103170323286591</c:v>
                </c:pt>
                <c:pt idx="192">
                  <c:v>-76.429574659714746</c:v>
                </c:pt>
                <c:pt idx="193">
                  <c:v>-76.749931167378946</c:v>
                </c:pt>
                <c:pt idx="194">
                  <c:v>-77.064338236810642</c:v>
                </c:pt>
                <c:pt idx="195">
                  <c:v>-77.372895346945299</c:v>
                </c:pt>
                <c:pt idx="196">
                  <c:v>-77.675702886823885</c:v>
                </c:pt>
                <c:pt idx="197">
                  <c:v>-77.972861988165988</c:v>
                </c:pt>
                <c:pt idx="198">
                  <c:v>-78.264474368487555</c:v>
                </c:pt>
                <c:pt idx="199">
                  <c:v>-78.550642184420767</c:v>
                </c:pt>
                <c:pt idx="200">
                  <c:v>-78.831467894880419</c:v>
                </c:pt>
                <c:pt idx="201">
                  <c:v>-79.10705413371069</c:v>
                </c:pt>
                <c:pt idx="202">
                  <c:v>-79.377503591444196</c:v>
                </c:pt>
                <c:pt idx="203">
                  <c:v>-79.64291890579787</c:v>
                </c:pt>
                <c:pt idx="204">
                  <c:v>-79.903402560533252</c:v>
                </c:pt>
                <c:pt idx="205">
                  <c:v>-80.159056792307794</c:v>
                </c:pt>
                <c:pt idx="206">
                  <c:v>-80.409983505148929</c:v>
                </c:pt>
                <c:pt idx="207">
                  <c:v>-80.656284192187385</c:v>
                </c:pt>
                <c:pt idx="208">
                  <c:v>-80.898059864292321</c:v>
                </c:pt>
                <c:pt idx="209">
                  <c:v>-81.135410985259313</c:v>
                </c:pt>
                <c:pt idx="210">
                  <c:v>-81.36843741321006</c:v>
                </c:pt>
                <c:pt idx="211">
                  <c:v>-81.597238347873386</c:v>
                </c:pt>
                <c:pt idx="212">
                  <c:v>-81.821912283426002</c:v>
                </c:pt>
                <c:pt idx="213">
                  <c:v>-82.042556966582652</c:v>
                </c:pt>
                <c:pt idx="214">
                  <c:v>-82.259269359636917</c:v>
                </c:pt>
                <c:pt idx="215">
                  <c:v>-82.472145608163913</c:v>
                </c:pt>
                <c:pt idx="216">
                  <c:v>-82.681281013108546</c:v>
                </c:pt>
                <c:pt idx="217">
                  <c:v>-82.886770006993856</c:v>
                </c:pt>
                <c:pt idx="218">
                  <c:v>-83.088706133996254</c:v>
                </c:pt>
                <c:pt idx="219">
                  <c:v>-83.287182033644171</c:v>
                </c:pt>
                <c:pt idx="220">
                  <c:v>-83.482289427910047</c:v>
                </c:pt>
                <c:pt idx="221">
                  <c:v>-83.674119111474695</c:v>
                </c:pt>
                <c:pt idx="222">
                  <c:v>-83.8627609449548</c:v>
                </c:pt>
                <c:pt idx="223">
                  <c:v>-84.048303850895479</c:v>
                </c:pt>
                <c:pt idx="224">
                  <c:v>-84.230835812337148</c:v>
                </c:pt>
                <c:pt idx="225">
                  <c:v>-84.410443873780906</c:v>
                </c:pt>
                <c:pt idx="226">
                  <c:v>-84.587214144381065</c:v>
                </c:pt>
                <c:pt idx="227">
                  <c:v>-84.761231803205391</c:v>
                </c:pt>
                <c:pt idx="228">
                  <c:v>-84.932581106412201</c:v>
                </c:pt>
                <c:pt idx="229">
                  <c:v>-85.101345396202873</c:v>
                </c:pt>
                <c:pt idx="230">
                  <c:v>-85.267607111412474</c:v>
                </c:pt>
                <c:pt idx="231">
                  <c:v>-85.43144779961527</c:v>
                </c:pt>
                <c:pt idx="232">
                  <c:v>-85.592948130623157</c:v>
                </c:pt>
                <c:pt idx="233">
                  <c:v>-85.752187911266759</c:v>
                </c:pt>
                <c:pt idx="234">
                  <c:v>-85.909246101352281</c:v>
                </c:pt>
                <c:pt idx="235">
                  <c:v>-86.06420083069581</c:v>
                </c:pt>
                <c:pt idx="236">
                  <c:v>-86.217129417141365</c:v>
                </c:pt>
                <c:pt idx="237">
                  <c:v>-86.368108385475367</c:v>
                </c:pt>
                <c:pt idx="238">
                  <c:v>-86.517213487155288</c:v>
                </c:pt>
                <c:pt idx="239">
                  <c:v>-86.664519720774621</c:v>
                </c:pt>
                <c:pt idx="240">
                  <c:v>-86.810101353192451</c:v>
                </c:pt>
                <c:pt idx="241">
                  <c:v>-86.954031941258364</c:v>
                </c:pt>
                <c:pt idx="242">
                  <c:v>-87.096384354069286</c:v>
                </c:pt>
                <c:pt idx="243">
                  <c:v>-87.237230795697016</c:v>
                </c:pt>
                <c:pt idx="244">
                  <c:v>-87.37664282833012</c:v>
                </c:pt>
                <c:pt idx="245">
                  <c:v>-87.514691395775955</c:v>
                </c:pt>
                <c:pt idx="246">
                  <c:v>-87.651446847272027</c:v>
                </c:pt>
                <c:pt idx="247">
                  <c:v>-87.786978961558717</c:v>
                </c:pt>
                <c:pt idx="248">
                  <c:v>-87.921356971167256</c:v>
                </c:pt>
                <c:pt idx="249">
                  <c:v>-88.054649586879904</c:v>
                </c:pt>
                <c:pt idx="250">
                  <c:v>-88.186925022320125</c:v>
                </c:pt>
                <c:pt idx="251">
                  <c:v>-88.318251018633362</c:v>
                </c:pt>
                <c:pt idx="252">
                  <c:v>-88.44869486921948</c:v>
                </c:pt>
                <c:pt idx="253">
                  <c:v>-88.578323444480333</c:v>
                </c:pt>
                <c:pt idx="254">
                  <c:v>-88.707203216545636</c:v>
                </c:pt>
                <c:pt idx="255">
                  <c:v>-88.83540028394242</c:v>
                </c:pt>
                <c:pt idx="256">
                  <c:v>-88.962980396172867</c:v>
                </c:pt>
                <c:pt idx="257">
                  <c:v>-89.090008978166708</c:v>
                </c:pt>
                <c:pt idx="258">
                  <c:v>-89.216551154573651</c:v>
                </c:pt>
                <c:pt idx="259">
                  <c:v>-89.342671773861824</c:v>
                </c:pt>
                <c:pt idx="260">
                  <c:v>-89.46843543218813</c:v>
                </c:pt>
                <c:pt idx="261">
                  <c:v>-89.59390649700515</c:v>
                </c:pt>
                <c:pt idx="262">
                  <c:v>-89.719149130369487</c:v>
                </c:pt>
                <c:pt idx="263">
                  <c:v>-89.844227311915319</c:v>
                </c:pt>
                <c:pt idx="264">
                  <c:v>-89.969204861455282</c:v>
                </c:pt>
                <c:pt idx="265">
                  <c:v>-90.094145461170427</c:v>
                </c:pt>
                <c:pt idx="266">
                  <c:v>-90.219112677348761</c:v>
                </c:pt>
                <c:pt idx="267">
                  <c:v>-90.344169981630316</c:v>
                </c:pt>
                <c:pt idx="268">
                  <c:v>-90.469380771715336</c:v>
                </c:pt>
                <c:pt idx="269">
                  <c:v>-90.594808391488513</c:v>
                </c:pt>
                <c:pt idx="270">
                  <c:v>-90.720516150511656</c:v>
                </c:pt>
                <c:pt idx="271">
                  <c:v>-90.846567342832941</c:v>
                </c:pt>
                <c:pt idx="272">
                  <c:v>-90.973025265058581</c:v>
                </c:pt>
                <c:pt idx="273">
                  <c:v>-91.099953233629961</c:v>
                </c:pt>
                <c:pt idx="274">
                  <c:v>-91.227414601244561</c:v>
                </c:pt>
                <c:pt idx="275">
                  <c:v>-91.355472772357203</c:v>
                </c:pt>
                <c:pt idx="276">
                  <c:v>-91.484191217691972</c:v>
                </c:pt>
                <c:pt idx="277">
                  <c:v>-91.613633487692667</c:v>
                </c:pt>
                <c:pt idx="278">
                  <c:v>-91.743863224834143</c:v>
                </c:pt>
                <c:pt idx="279">
                  <c:v>-91.874944174711928</c:v>
                </c:pt>
                <c:pt idx="280">
                  <c:v>-92.006940195823475</c:v>
                </c:pt>
                <c:pt idx="281">
                  <c:v>-92.139915267946478</c:v>
                </c:pt>
                <c:pt idx="282">
                  <c:v>-92.273933499017602</c:v>
                </c:pt>
                <c:pt idx="283">
                  <c:v>-92.409059130404401</c:v>
                </c:pt>
                <c:pt idx="284">
                  <c:v>-92.54535654046046</c:v>
                </c:pt>
                <c:pt idx="285">
                  <c:v>-92.68289024624552</c:v>
                </c:pt>
                <c:pt idx="286">
                  <c:v>-92.821724903283837</c:v>
                </c:pt>
                <c:pt idx="287">
                  <c:v>-92.961925303229677</c:v>
                </c:pt>
                <c:pt idx="288">
                  <c:v>-93.103556369297891</c:v>
                </c:pt>
                <c:pt idx="289">
                  <c:v>-93.246683149311735</c:v>
                </c:pt>
                <c:pt idx="290">
                  <c:v>-93.391370806209821</c:v>
                </c:pt>
                <c:pt idx="291">
                  <c:v>-93.537684605846437</c:v>
                </c:pt>
                <c:pt idx="292">
                  <c:v>-93.68568990191099</c:v>
                </c:pt>
                <c:pt idx="293">
                  <c:v>-93.835452117780008</c:v>
                </c:pt>
                <c:pt idx="294">
                  <c:v>-93.987036725109789</c:v>
                </c:pt>
                <c:pt idx="295">
                  <c:v>-94.140509218964326</c:v>
                </c:pt>
                <c:pt idx="296">
                  <c:v>-94.295935089264901</c:v>
                </c:pt>
                <c:pt idx="297">
                  <c:v>-94.453379788337031</c:v>
                </c:pt>
                <c:pt idx="298">
                  <c:v>-94.612908694319728</c:v>
                </c:pt>
                <c:pt idx="299">
                  <c:v>-94.774587070193348</c:v>
                </c:pt>
                <c:pt idx="300">
                  <c:v>-94.938480018168462</c:v>
                </c:pt>
                <c:pt idx="301">
                  <c:v>-95.104652429172646</c:v>
                </c:pt>
                <c:pt idx="302">
                  <c:v>-95.273168927155737</c:v>
                </c:pt>
                <c:pt idx="303">
                  <c:v>-95.444093807932248</c:v>
                </c:pt>
                <c:pt idx="304">
                  <c:v>-95.617490972260995</c:v>
                </c:pt>
                <c:pt idx="305">
                  <c:v>-95.793423852860627</c:v>
                </c:pt>
                <c:pt idx="306">
                  <c:v>-95.971955335047099</c:v>
                </c:pt>
                <c:pt idx="307">
                  <c:v>-96.153147670672084</c:v>
                </c:pt>
                <c:pt idx="308">
                  <c:v>-96.337062385035665</c:v>
                </c:pt>
                <c:pt idx="309">
                  <c:v>-96.523760176441115</c:v>
                </c:pt>
                <c:pt idx="310">
                  <c:v>-96.713300808053035</c:v>
                </c:pt>
                <c:pt idx="311">
                  <c:v>-96.905742991720629</c:v>
                </c:pt>
                <c:pt idx="312">
                  <c:v>-97.101144263425581</c:v>
                </c:pt>
                <c:pt idx="313">
                  <c:v>-97.299560850014331</c:v>
                </c:pt>
                <c:pt idx="314">
                  <c:v>-97.501047526880271</c:v>
                </c:pt>
                <c:pt idx="315">
                  <c:v>-97.70565746626589</c:v>
                </c:pt>
                <c:pt idx="316">
                  <c:v>-97.913442075866811</c:v>
                </c:pt>
                <c:pt idx="317">
                  <c:v>-98.124450827428063</c:v>
                </c:pt>
                <c:pt idx="318">
                  <c:v>-98.338731075044592</c:v>
                </c:pt>
                <c:pt idx="319">
                  <c:v>-98.556327862895856</c:v>
                </c:pt>
                <c:pt idx="320">
                  <c:v>-98.777283722170012</c:v>
                </c:pt>
                <c:pt idx="321">
                  <c:v>-99.001638456963533</c:v>
                </c:pt>
                <c:pt idx="322">
                  <c:v>-99.229428918979153</c:v>
                </c:pt>
                <c:pt idx="323">
                  <c:v>-99.460688770884715</c:v>
                </c:pt>
                <c:pt idx="324">
                  <c:v>-99.695448238246414</c:v>
                </c:pt>
                <c:pt idx="325">
                  <c:v>-99.933733850000536</c:v>
                </c:pt>
                <c:pt idx="326">
                  <c:v>-100.17556816749332</c:v>
                </c:pt>
                <c:pt idx="327">
                  <c:v>-100.4209695021891</c:v>
                </c:pt>
                <c:pt idx="328">
                  <c:v>-100.66995162221846</c:v>
                </c:pt>
                <c:pt idx="329">
                  <c:v>-100.92252344803356</c:v>
                </c:pt>
                <c:pt idx="330">
                  <c:v>-101.17868873752087</c:v>
                </c:pt>
                <c:pt idx="331">
                  <c:v>-101.43844576103754</c:v>
                </c:pt>
                <c:pt idx="332">
                  <c:v>-101.70178696693809</c:v>
                </c:pt>
                <c:pt idx="333">
                  <c:v>-101.96869863828918</c:v>
                </c:pt>
                <c:pt idx="334">
                  <c:v>-102.23916054159302</c:v>
                </c:pt>
                <c:pt idx="335">
                  <c:v>-102.5131455684843</c:v>
                </c:pt>
                <c:pt idx="336">
                  <c:v>-102.79061937150927</c:v>
                </c:pt>
                <c:pt idx="337">
                  <c:v>-103.07153999525232</c:v>
                </c:pt>
                <c:pt idx="338">
                  <c:v>-103.3558575042366</c:v>
                </c:pt>
                <c:pt idx="339">
                  <c:v>-103.64351360919484</c:v>
                </c:pt>
                <c:pt idx="340">
                  <c:v>-103.93444129347722</c:v>
                </c:pt>
                <c:pt idx="341">
                  <c:v>-104.22856444154289</c:v>
                </c:pt>
                <c:pt idx="342">
                  <c:v>-104.52579747165802</c:v>
                </c:pt>
                <c:pt idx="343">
                  <c:v>-104.8260449751042</c:v>
                </c:pt>
                <c:pt idx="344">
                  <c:v>-105.12920136437621</c:v>
                </c:pt>
                <c:pt idx="345">
                  <c:v>-105.43515053302201</c:v>
                </c:pt>
                <c:pt idx="346">
                  <c:v>-105.74376552994453</c:v>
                </c:pt>
                <c:pt idx="347">
                  <c:v>-106.054908251135</c:v>
                </c:pt>
                <c:pt idx="348">
                  <c:v>-106.36842915196046</c:v>
                </c:pt>
                <c:pt idx="349">
                  <c:v>-106.68416698324376</c:v>
                </c:pt>
                <c:pt idx="350">
                  <c:v>-107.00194855449085</c:v>
                </c:pt>
                <c:pt idx="351">
                  <c:v>-107.32158852769861</c:v>
                </c:pt>
                <c:pt idx="352">
                  <c:v>-107.64288924523821</c:v>
                </c:pt>
                <c:pt idx="353">
                  <c:v>-107.96564059533625</c:v>
                </c:pt>
                <c:pt idx="354">
                  <c:v>-108.28961991867071</c:v>
                </c:pt>
                <c:pt idx="355">
                  <c:v>-108.61459195955808</c:v>
                </c:pt>
                <c:pt idx="356">
                  <c:v>-108.94030886513033</c:v>
                </c:pt>
                <c:pt idx="357">
                  <c:v>-109.26651023577479</c:v>
                </c:pt>
                <c:pt idx="358">
                  <c:v>-109.59292322995005</c:v>
                </c:pt>
                <c:pt idx="359">
                  <c:v>-109.91926272627848</c:v>
                </c:pt>
                <c:pt idx="360">
                  <c:v>-110.24523154555965</c:v>
                </c:pt>
                <c:pt idx="361">
                  <c:v>-110.57052073505317</c:v>
                </c:pt>
                <c:pt idx="362">
                  <c:v>-110.89480991702536</c:v>
                </c:pt>
                <c:pt idx="363">
                  <c:v>-111.21776770317412</c:v>
                </c:pt>
                <c:pt idx="364">
                  <c:v>-111.5390521761063</c:v>
                </c:pt>
                <c:pt idx="365">
                  <c:v>-111.85831143858167</c:v>
                </c:pt>
                <c:pt idx="366">
                  <c:v>-112.17518423073099</c:v>
                </c:pt>
                <c:pt idx="367">
                  <c:v>-112.48930061492784</c:v>
                </c:pt>
                <c:pt idx="368">
                  <c:v>-112.80028272744126</c:v>
                </c:pt>
                <c:pt idx="369">
                  <c:v>-113.10774559542612</c:v>
                </c:pt>
                <c:pt idx="370">
                  <c:v>-113.41129801723282</c:v>
                </c:pt>
                <c:pt idx="371">
                  <c:v>-113.71054350343672</c:v>
                </c:pt>
                <c:pt idx="372">
                  <c:v>-114.00508127542057</c:v>
                </c:pt>
                <c:pt idx="373">
                  <c:v>-114.2945073177787</c:v>
                </c:pt>
                <c:pt idx="374">
                  <c:v>-114.57841548028345</c:v>
                </c:pt>
                <c:pt idx="375">
                  <c:v>-114.85639862464734</c:v>
                </c:pt>
                <c:pt idx="376">
                  <c:v>-115.1280498108494</c:v>
                </c:pt>
                <c:pt idx="377">
                  <c:v>-115.39296351736844</c:v>
                </c:pt>
                <c:pt idx="378">
                  <c:v>-115.65073688930063</c:v>
                </c:pt>
                <c:pt idx="379">
                  <c:v>-115.900971008017</c:v>
                </c:pt>
                <c:pt idx="380">
                  <c:v>-116.14327217576083</c:v>
                </c:pt>
                <c:pt idx="381">
                  <c:v>-116.37725320839256</c:v>
                </c:pt>
                <c:pt idx="382">
                  <c:v>-116.60253472935175</c:v>
                </c:pt>
                <c:pt idx="383">
                  <c:v>-116.81874645784862</c:v>
                </c:pt>
                <c:pt idx="384">
                  <c:v>-117.02552848428314</c:v>
                </c:pt>
                <c:pt idx="385">
                  <c:v>-117.22253252595257</c:v>
                </c:pt>
                <c:pt idx="386">
                  <c:v>-117.40942315622428</c:v>
                </c:pt>
                <c:pt idx="387">
                  <c:v>-117.58587900051744</c:v>
                </c:pt>
                <c:pt idx="388">
                  <c:v>-117.75159389266248</c:v>
                </c:pt>
                <c:pt idx="389">
                  <c:v>-117.90627798546721</c:v>
                </c:pt>
                <c:pt idx="390">
                  <c:v>-118.04965880962547</c:v>
                </c:pt>
                <c:pt idx="391">
                  <c:v>-118.18148227544212</c:v>
                </c:pt>
                <c:pt idx="392">
                  <c:v>-118.30151361221293</c:v>
                </c:pt>
                <c:pt idx="393">
                  <c:v>-118.40953824048222</c:v>
                </c:pt>
                <c:pt idx="394">
                  <c:v>-118.50536257281257</c:v>
                </c:pt>
                <c:pt idx="395">
                  <c:v>-118.58881473910772</c:v>
                </c:pt>
                <c:pt idx="396">
                  <c:v>-118.65974523296238</c:v>
                </c:pt>
                <c:pt idx="397">
                  <c:v>-118.71802747593134</c:v>
                </c:pt>
                <c:pt idx="398">
                  <c:v>-118.76355829704782</c:v>
                </c:pt>
                <c:pt idx="399">
                  <c:v>-118.79625832534632</c:v>
                </c:pt>
                <c:pt idx="400">
                  <c:v>-118.81607229356871</c:v>
                </c:pt>
                <c:pt idx="401">
                  <c:v>-118.822969251663</c:v>
                </c:pt>
                <c:pt idx="402">
                  <c:v>-118.81694268909843</c:v>
                </c:pt>
                <c:pt idx="403">
                  <c:v>-118.79801056545018</c:v>
                </c:pt>
                <c:pt idx="404">
                  <c:v>-118.76621524910874</c:v>
                </c:pt>
                <c:pt idx="405">
                  <c:v>-118.72162336440758</c:v>
                </c:pt>
                <c:pt idx="406">
                  <c:v>-118.66432554786003</c:v>
                </c:pt>
                <c:pt idx="407">
                  <c:v>-118.59443611463389</c:v>
                </c:pt>
                <c:pt idx="408">
                  <c:v>-118.51209263680281</c:v>
                </c:pt>
                <c:pt idx="409">
                  <c:v>-118.41745543534364</c:v>
                </c:pt>
                <c:pt idx="410">
                  <c:v>-118.31070698827787</c:v>
                </c:pt>
                <c:pt idx="411">
                  <c:v>-118.19205125777853</c:v>
                </c:pt>
                <c:pt idx="412">
                  <c:v>-118.06171293950044</c:v>
                </c:pt>
                <c:pt idx="413">
                  <c:v>-117.91993663781057</c:v>
                </c:pt>
                <c:pt idx="414">
                  <c:v>-117.76698597102494</c:v>
                </c:pt>
                <c:pt idx="415">
                  <c:v>-117.60314261116325</c:v>
                </c:pt>
                <c:pt idx="416">
                  <c:v>-117.4287052631354</c:v>
                </c:pt>
                <c:pt idx="417">
                  <c:v>-117.24398858865487</c:v>
                </c:pt>
                <c:pt idx="418">
                  <c:v>-117.04932208052618</c:v>
                </c:pt>
                <c:pt idx="419">
                  <c:v>-116.84504889328485</c:v>
                </c:pt>
                <c:pt idx="420">
                  <c:v>-116.63152463645524</c:v>
                </c:pt>
                <c:pt idx="421">
                  <c:v>-116.40911613694659</c:v>
                </c:pt>
                <c:pt idx="422">
                  <c:v>-116.1782001773045</c:v>
                </c:pt>
                <c:pt idx="423">
                  <c:v>-115.93916221669333</c:v>
                </c:pt>
                <c:pt idx="424">
                  <c:v>-115.69239510157583</c:v>
                </c:pt>
                <c:pt idx="425">
                  <c:v>-115.43829777309367</c:v>
                </c:pt>
                <c:pt idx="426">
                  <c:v>-115.17727397812911</c:v>
                </c:pt>
                <c:pt idx="427">
                  <c:v>-114.90973099093296</c:v>
                </c:pt>
                <c:pt idx="428">
                  <c:v>-114.6360783520557</c:v>
                </c:pt>
                <c:pt idx="429">
                  <c:v>-114.35672663109641</c:v>
                </c:pt>
                <c:pt idx="430">
                  <c:v>-114.07208621951264</c:v>
                </c:pt>
                <c:pt idx="431">
                  <c:v>-113.78256615938946</c:v>
                </c:pt>
                <c:pt idx="432">
                  <c:v>-113.48857301368263</c:v>
                </c:pt>
                <c:pt idx="433">
                  <c:v>-113.19050978301077</c:v>
                </c:pt>
                <c:pt idx="434">
                  <c:v>-112.88877487358958</c:v>
                </c:pt>
                <c:pt idx="435">
                  <c:v>-112.58376112038667</c:v>
                </c:pt>
                <c:pt idx="436">
                  <c:v>-112.27585486903327</c:v>
                </c:pt>
                <c:pt idx="437">
                  <c:v>-111.96543511946112</c:v>
                </c:pt>
                <c:pt idx="438">
                  <c:v>-111.65287273366499</c:v>
                </c:pt>
                <c:pt idx="439">
                  <c:v>-111.33852970940585</c:v>
                </c:pt>
                <c:pt idx="440">
                  <c:v>-111.02275852109665</c:v>
                </c:pt>
                <c:pt idx="441">
                  <c:v>-110.70590152855048</c:v>
                </c:pt>
                <c:pt idx="442">
                  <c:v>-110.38829045372309</c:v>
                </c:pt>
                <c:pt idx="443">
                  <c:v>-110.0702459250635</c:v>
                </c:pt>
                <c:pt idx="444">
                  <c:v>-109.75207708859256</c:v>
                </c:pt>
                <c:pt idx="445">
                  <c:v>-109.43408128437898</c:v>
                </c:pt>
                <c:pt idx="446">
                  <c:v>-109.11654378666037</c:v>
                </c:pt>
                <c:pt idx="447">
                  <c:v>-108.79973760548717</c:v>
                </c:pt>
                <c:pt idx="448">
                  <c:v>-108.48392334743377</c:v>
                </c:pt>
                <c:pt idx="449">
                  <c:v>-108.16934913263822</c:v>
                </c:pt>
                <c:pt idx="450">
                  <c:v>-107.85625056518951</c:v>
                </c:pt>
                <c:pt idx="451">
                  <c:v>-107.54485075369507</c:v>
                </c:pt>
                <c:pt idx="452">
                  <c:v>-107.23536037869911</c:v>
                </c:pt>
                <c:pt idx="453">
                  <c:v>-106.92797780353175</c:v>
                </c:pt>
                <c:pt idx="454">
                  <c:v>-106.62288922508883</c:v>
                </c:pt>
                <c:pt idx="455">
                  <c:v>-106.32026886102376</c:v>
                </c:pt>
                <c:pt idx="456">
                  <c:v>-106.0202791698363</c:v>
                </c:pt>
                <c:pt idx="457">
                  <c:v>-105.72307110038207</c:v>
                </c:pt>
                <c:pt idx="458">
                  <c:v>-105.42878436739703</c:v>
                </c:pt>
                <c:pt idx="459">
                  <c:v>-105.13754774972205</c:v>
                </c:pt>
                <c:pt idx="460">
                  <c:v>-104.84947940802719</c:v>
                </c:pt>
                <c:pt idx="461">
                  <c:v>-104.5646872189695</c:v>
                </c:pt>
                <c:pt idx="462">
                  <c:v>-104.28326912286579</c:v>
                </c:pt>
                <c:pt idx="463">
                  <c:v>-104.00531348212024</c:v>
                </c:pt>
                <c:pt idx="464">
                  <c:v>-103.73089944781556</c:v>
                </c:pt>
                <c:pt idx="465">
                  <c:v>-103.46009733205317</c:v>
                </c:pt>
                <c:pt idx="466">
                  <c:v>-103.19296898380048</c:v>
                </c:pt>
                <c:pt idx="467">
                  <c:v>-102.92956816618951</c:v>
                </c:pt>
                <c:pt idx="468">
                  <c:v>-102.66994093338377</c:v>
                </c:pt>
                <c:pt idx="469">
                  <c:v>-102.41412600530701</c:v>
                </c:pt>
                <c:pt idx="470">
                  <c:v>-102.16215513870387</c:v>
                </c:pt>
                <c:pt idx="471">
                  <c:v>-101.91405349315973</c:v>
                </c:pt>
                <c:pt idx="472">
                  <c:v>-101.66983999087736</c:v>
                </c:pt>
                <c:pt idx="473">
                  <c:v>-101.42952766915148</c:v>
                </c:pt>
                <c:pt idx="474">
                  <c:v>-101.19312402463039</c:v>
                </c:pt>
                <c:pt idx="475">
                  <c:v>-100.96063134859152</c:v>
                </c:pt>
                <c:pt idx="476">
                  <c:v>-100.73204705258139</c:v>
                </c:pt>
                <c:pt idx="477">
                  <c:v>-100.50736398389078</c:v>
                </c:pt>
                <c:pt idx="478">
                  <c:v>-100.28657073044405</c:v>
                </c:pt>
                <c:pt idx="479">
                  <c:v>-100.06965191478422</c:v>
                </c:pt>
                <c:pt idx="480">
                  <c:v>-99.856588476922468</c:v>
                </c:pt>
                <c:pt idx="481">
                  <c:v>-99.647357945909476</c:v>
                </c:pt>
                <c:pt idx="482">
                  <c:v>-99.441934700055356</c:v>
                </c:pt>
                <c:pt idx="483">
                  <c:v>-99.240290215796492</c:v>
                </c:pt>
                <c:pt idx="484">
                  <c:v>-99.042393305263246</c:v>
                </c:pt>
                <c:pt idx="485">
                  <c:v>-98.848210342659002</c:v>
                </c:pt>
                <c:pt idx="486">
                  <c:v>-98.657705479601901</c:v>
                </c:pt>
                <c:pt idx="487">
                  <c:v>-98.470840849624835</c:v>
                </c:pt>
                <c:pt idx="488">
                  <c:v>-98.28757676206105</c:v>
                </c:pt>
                <c:pt idx="489">
                  <c:v>-98.107871885570447</c:v>
                </c:pt>
                <c:pt idx="490">
                  <c:v>-97.931683421587422</c:v>
                </c:pt>
                <c:pt idx="491">
                  <c:v>-97.758967267988623</c:v>
                </c:pt>
                <c:pt idx="492">
                  <c:v>-97.589678173296107</c:v>
                </c:pt>
                <c:pt idx="493">
                  <c:v>-97.423769881740043</c:v>
                </c:pt>
                <c:pt idx="494">
                  <c:v>-97.261195269517529</c:v>
                </c:pt>
                <c:pt idx="495">
                  <c:v>-97.101906472585256</c:v>
                </c:pt>
                <c:pt idx="496">
                  <c:v>-96.945855006329836</c:v>
                </c:pt>
                <c:pt idx="497">
                  <c:v>-96.792991877458519</c:v>
                </c:pt>
                <c:pt idx="498">
                  <c:v>-96.643267688451829</c:v>
                </c:pt>
                <c:pt idx="499">
                  <c:v>-96.496632734917057</c:v>
                </c:pt>
                <c:pt idx="500">
                  <c:v>-96.353037096175512</c:v>
                </c:pt>
                <c:pt idx="501">
                  <c:v>-96.212430719412708</c:v>
                </c:pt>
                <c:pt idx="502">
                  <c:v>-96.074763497710265</c:v>
                </c:pt>
                <c:pt idx="503">
                  <c:v>-95.939985342274966</c:v>
                </c:pt>
                <c:pt idx="504">
                  <c:v>-95.808046249166551</c:v>
                </c:pt>
                <c:pt idx="505">
                  <c:v>-95.678896360820957</c:v>
                </c:pt>
                <c:pt idx="506">
                  <c:v>-95.552486022653412</c:v>
                </c:pt>
                <c:pt idx="507">
                  <c:v>-95.428765835017231</c:v>
                </c:pt>
                <c:pt idx="508">
                  <c:v>-95.307686700782313</c:v>
                </c:pt>
                <c:pt idx="509">
                  <c:v>-95.189199868789231</c:v>
                </c:pt>
                <c:pt idx="510">
                  <c:v>-95.073256973422374</c:v>
                </c:pt>
                <c:pt idx="511">
                  <c:v>-94.959810070535738</c:v>
                </c:pt>
                <c:pt idx="512">
                  <c:v>-94.848811669955509</c:v>
                </c:pt>
                <c:pt idx="513">
                  <c:v>-94.740214764772119</c:v>
                </c:pt>
                <c:pt idx="514">
                  <c:v>-94.633972857625182</c:v>
                </c:pt>
                <c:pt idx="515">
                  <c:v>-94.530039984174579</c:v>
                </c:pt>
                <c:pt idx="516">
                  <c:v>-94.428370733941989</c:v>
                </c:pt>
                <c:pt idx="517">
                  <c:v>-94.328920268696137</c:v>
                </c:pt>
                <c:pt idx="518">
                  <c:v>-94.231644338548605</c:v>
                </c:pt>
                <c:pt idx="519">
                  <c:v>-94.136499295915485</c:v>
                </c:pt>
                <c:pt idx="520">
                  <c:v>-94.043442107493988</c:v>
                </c:pt>
                <c:pt idx="521">
                  <c:v>-93.952430364393408</c:v>
                </c:pt>
                <c:pt idx="522">
                  <c:v>-93.863422290553331</c:v>
                </c:pt>
                <c:pt idx="523">
                  <c:v>-93.776376749572663</c:v>
                </c:pt>
                <c:pt idx="524">
                  <c:v>-93.691253250068087</c:v>
                </c:pt>
                <c:pt idx="525">
                  <c:v>-93.608011949672132</c:v>
                </c:pt>
                <c:pt idx="526">
                  <c:v>-93.526613657774391</c:v>
                </c:pt>
                <c:pt idx="527">
                  <c:v>-93.447019837104818</c:v>
                </c:pt>
                <c:pt idx="528">
                  <c:v>-93.369192604249918</c:v>
                </c:pt>
                <c:pt idx="529">
                  <c:v>-93.293094729188326</c:v>
                </c:pt>
                <c:pt idx="530">
                  <c:v>-93.218689633926928</c:v>
                </c:pt>
                <c:pt idx="531">
                  <c:v>-93.145941390313155</c:v>
                </c:pt>
                <c:pt idx="532">
                  <c:v>-93.074814717093517</c:v>
                </c:pt>
                <c:pt idx="533">
                  <c:v>-93.005274976285989</c:v>
                </c:pt>
                <c:pt idx="534">
                  <c:v>-92.937288168927125</c:v>
                </c:pt>
                <c:pt idx="535">
                  <c:v>-92.870820930252606</c:v>
                </c:pt>
                <c:pt idx="536">
                  <c:v>-92.805840524364754</c:v>
                </c:pt>
                <c:pt idx="537">
                  <c:v>-92.742314838437366</c:v>
                </c:pt>
                <c:pt idx="538">
                  <c:v>-92.680212376505295</c:v>
                </c:pt>
                <c:pt idx="539">
                  <c:v>-92.619502252882199</c:v>
                </c:pt>
                <c:pt idx="540">
                  <c:v>-92.560154185247043</c:v>
                </c:pt>
                <c:pt idx="541">
                  <c:v>-92.502138487437449</c:v>
                </c:pt>
              </c:numCache>
            </c:numRef>
          </c:yVal>
          <c:smooth val="1"/>
          <c:extLst>
            <c:ext xmlns:c16="http://schemas.microsoft.com/office/drawing/2014/chart" uri="{C3380CC4-5D6E-409C-BE32-E72D297353CC}">
              <c16:uniqueId val="{00000001-AD4D-45E6-8C83-628FF672E0A1}"/>
            </c:ext>
          </c:extLst>
        </c:ser>
        <c:dLbls>
          <c:showLegendKey val="0"/>
          <c:showVal val="0"/>
          <c:showCatName val="0"/>
          <c:showSerName val="0"/>
          <c:showPercent val="0"/>
          <c:showBubbleSize val="0"/>
        </c:dLbls>
        <c:axId val="555313792"/>
        <c:axId val="555312256"/>
      </c:scatterChart>
      <c:valAx>
        <c:axId val="5553040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05984"/>
        <c:crosses val="autoZero"/>
        <c:crossBetween val="midCat"/>
      </c:valAx>
      <c:valAx>
        <c:axId val="5553059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555304064"/>
        <c:crosses val="autoZero"/>
        <c:crossBetween val="midCat"/>
        <c:majorUnit val="20"/>
        <c:minorUnit val="10"/>
      </c:valAx>
      <c:valAx>
        <c:axId val="555312256"/>
        <c:scaling>
          <c:orientation val="minMax"/>
          <c:max val="180"/>
          <c:min val="-180"/>
        </c:scaling>
        <c:delete val="0"/>
        <c:axPos val="r"/>
        <c:numFmt formatCode="General" sourceLinked="1"/>
        <c:majorTickMark val="out"/>
        <c:minorTickMark val="none"/>
        <c:tickLblPos val="nextTo"/>
        <c:crossAx val="555313792"/>
        <c:crosses val="max"/>
        <c:crossBetween val="midCat"/>
        <c:majorUnit val="90"/>
        <c:minorUnit val="45"/>
      </c:valAx>
      <c:valAx>
        <c:axId val="555313792"/>
        <c:scaling>
          <c:logBase val="10"/>
          <c:orientation val="minMax"/>
        </c:scaling>
        <c:delete val="1"/>
        <c:axPos val="b"/>
        <c:numFmt formatCode="0.00" sourceLinked="1"/>
        <c:majorTickMark val="out"/>
        <c:minorTickMark val="none"/>
        <c:tickLblPos val="nextTo"/>
        <c:crossAx val="55531225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DCM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Loop_Modeling!$BM$19:$BM$560</c:f>
              <c:numCache>
                <c:formatCode>0.000</c:formatCode>
                <c:ptCount val="542"/>
                <c:pt idx="0">
                  <c:v>61.306333584836558</c:v>
                </c:pt>
                <c:pt idx="1">
                  <c:v>61.106609430633569</c:v>
                </c:pt>
                <c:pt idx="2">
                  <c:v>60.906898193953737</c:v>
                </c:pt>
                <c:pt idx="3">
                  <c:v>60.70720047564344</c:v>
                </c:pt>
                <c:pt idx="4">
                  <c:v>60.507516904107291</c:v>
                </c:pt>
                <c:pt idx="5">
                  <c:v>60.307848136532698</c:v>
                </c:pt>
                <c:pt idx="6">
                  <c:v>60.108194860168226</c:v>
                </c:pt>
                <c:pt idx="7">
                  <c:v>59.908557793653117</c:v>
                </c:pt>
                <c:pt idx="8">
                  <c:v>59.708937688401981</c:v>
                </c:pt>
                <c:pt idx="9">
                  <c:v>59.509335330044564</c:v>
                </c:pt>
                <c:pt idx="10">
                  <c:v>59.309751539926026</c:v>
                </c:pt>
                <c:pt idx="11">
                  <c:v>59.110187176664517</c:v>
                </c:pt>
                <c:pt idx="12">
                  <c:v>58.910643137771849</c:v>
                </c:pt>
                <c:pt idx="13">
                  <c:v>58.711120361337485</c:v>
                </c:pt>
                <c:pt idx="14">
                  <c:v>58.511619827778382</c:v>
                </c:pt>
                <c:pt idx="15">
                  <c:v>58.312142561654682</c:v>
                </c:pt>
                <c:pt idx="16">
                  <c:v>58.112689633555775</c:v>
                </c:pt>
                <c:pt idx="17">
                  <c:v>57.913262162056469</c:v>
                </c:pt>
                <c:pt idx="18">
                  <c:v>57.713861315744417</c:v>
                </c:pt>
                <c:pt idx="19">
                  <c:v>57.51448831532354</c:v>
                </c:pt>
                <c:pt idx="20">
                  <c:v>57.3151444357907</c:v>
                </c:pt>
                <c:pt idx="21">
                  <c:v>57.115831008690293</c:v>
                </c:pt>
                <c:pt idx="22">
                  <c:v>56.916549424446636</c:v>
                </c:pt>
                <c:pt idx="23">
                  <c:v>56.7173011347749</c:v>
                </c:pt>
                <c:pt idx="24">
                  <c:v>56.518087655173233</c:v>
                </c:pt>
                <c:pt idx="25">
                  <c:v>56.318910567494683</c:v>
                </c:pt>
                <c:pt idx="26">
                  <c:v>56.119771522600608</c:v>
                </c:pt>
                <c:pt idx="27">
                  <c:v>55.920672243096341</c:v>
                </c:pt>
                <c:pt idx="28">
                  <c:v>55.721614526147377</c:v>
                </c:pt>
                <c:pt idx="29">
                  <c:v>55.522600246377834</c:v>
                </c:pt>
                <c:pt idx="30">
                  <c:v>55.323631358848488</c:v>
                </c:pt>
                <c:pt idx="31">
                  <c:v>55.124709902114631</c:v>
                </c:pt>
                <c:pt idx="32">
                  <c:v>54.925838001361804</c:v>
                </c:pt>
                <c:pt idx="33">
                  <c:v>54.727017871616219</c:v>
                </c:pt>
                <c:pt idx="34">
                  <c:v>54.528251821029102</c:v>
                </c:pt>
                <c:pt idx="35">
                  <c:v>54.32954225423024</c:v>
                </c:pt>
                <c:pt idx="36">
                  <c:v>54.130891675746405</c:v>
                </c:pt>
                <c:pt idx="37">
                  <c:v>53.932302693481972</c:v>
                </c:pt>
                <c:pt idx="38">
                  <c:v>53.733778022252601</c:v>
                </c:pt>
                <c:pt idx="39">
                  <c:v>53.535320487369525</c:v>
                </c:pt>
                <c:pt idx="40">
                  <c:v>53.336933028262969</c:v>
                </c:pt>
                <c:pt idx="41">
                  <c:v>53.13861870213934</c:v>
                </c:pt>
                <c:pt idx="42">
                  <c:v>52.940380687659584</c:v>
                </c:pt>
                <c:pt idx="43">
                  <c:v>52.742222288629286</c:v>
                </c:pt>
                <c:pt idx="44">
                  <c:v>52.544146937687856</c:v>
                </c:pt>
                <c:pt idx="45">
                  <c:v>52.346158199981701</c:v>
                </c:pt>
                <c:pt idx="46">
                  <c:v>52.14825977680561</c:v>
                </c:pt>
                <c:pt idx="47">
                  <c:v>51.950455509197738</c:v>
                </c:pt>
                <c:pt idx="48">
                  <c:v>51.752749381464355</c:v>
                </c:pt>
                <c:pt idx="49">
                  <c:v>51.555145524616435</c:v>
                </c:pt>
                <c:pt idx="50">
                  <c:v>51.357648219693253</c:v>
                </c:pt>
                <c:pt idx="51">
                  <c:v>51.160261900947681</c:v>
                </c:pt>
                <c:pt idx="52">
                  <c:v>50.96299115886508</c:v>
                </c:pt>
                <c:pt idx="53">
                  <c:v>50.765840742984416</c:v>
                </c:pt>
                <c:pt idx="54">
                  <c:v>50.568815564489199</c:v>
                </c:pt>
                <c:pt idx="55">
                  <c:v>50.371920698531632</c:v>
                </c:pt>
                <c:pt idx="56">
                  <c:v>50.175161386251695</c:v>
                </c:pt>
                <c:pt idx="57">
                  <c:v>49.978543036447235</c:v>
                </c:pt>
                <c:pt idx="58">
                  <c:v>49.782071226853617</c:v>
                </c:pt>
                <c:pt idx="59">
                  <c:v>49.585751704979877</c:v>
                </c:pt>
                <c:pt idx="60">
                  <c:v>49.389590388454046</c:v>
                </c:pt>
                <c:pt idx="61">
                  <c:v>49.193593364820757</c:v>
                </c:pt>
                <c:pt idx="62">
                  <c:v>48.997766890732592</c:v>
                </c:pt>
                <c:pt idx="63">
                  <c:v>48.802117390475644</c:v>
                </c:pt>
                <c:pt idx="64">
                  <c:v>48.60665145376278</c:v>
                </c:pt>
                <c:pt idx="65">
                  <c:v>48.411375832727536</c:v>
                </c:pt>
                <c:pt idx="66">
                  <c:v>48.216297438048024</c:v>
                </c:pt>
                <c:pt idx="67">
                  <c:v>48.021423334127377</c:v>
                </c:pt>
                <c:pt idx="68">
                  <c:v>47.826760733253408</c:v>
                </c:pt>
                <c:pt idx="69">
                  <c:v>47.632316988661394</c:v>
                </c:pt>
                <c:pt idx="70">
                  <c:v>47.438099586417806</c:v>
                </c:pt>
                <c:pt idx="71">
                  <c:v>47.24411613604461</c:v>
                </c:pt>
                <c:pt idx="72">
                  <c:v>47.050374359802227</c:v>
                </c:pt>
                <c:pt idx="73">
                  <c:v>46.856882080548914</c:v>
                </c:pt>
                <c:pt idx="74">
                  <c:v>46.663647208094964</c:v>
                </c:pt>
                <c:pt idx="75">
                  <c:v>46.470677723972351</c:v>
                </c:pt>
                <c:pt idx="76">
                  <c:v>46.277981664543091</c:v>
                </c:pt>
                <c:pt idx="77">
                  <c:v>46.085567102373055</c:v>
                </c:pt>
                <c:pt idx="78">
                  <c:v>45.89344212580275</c:v>
                </c:pt>
                <c:pt idx="79">
                  <c:v>45.701614816654519</c:v>
                </c:pt>
                <c:pt idx="80">
                  <c:v>45.510093226021368</c:v>
                </c:pt>
                <c:pt idx="81">
                  <c:v>45.318885348094575</c:v>
                </c:pt>
                <c:pt idx="82">
                  <c:v>45.127999091995818</c:v>
                </c:pt>
                <c:pt idx="83">
                  <c:v>44.937442251595826</c:v>
                </c:pt>
                <c:pt idx="84">
                  <c:v>44.747222473313727</c:v>
                </c:pt>
                <c:pt idx="85">
                  <c:v>44.557347221909865</c:v>
                </c:pt>
                <c:pt idx="86">
                  <c:v>44.367823744303543</c:v>
                </c:pt>
                <c:pt idx="87">
                  <c:v>44.178659031467973</c:v>
                </c:pt>
                <c:pt idx="88">
                  <c:v>43.989859778477225</c:v>
                </c:pt>
                <c:pt idx="89">
                  <c:v>43.801432342806315</c:v>
                </c:pt>
                <c:pt idx="90">
                  <c:v>43.613382701011012</c:v>
                </c:pt>
                <c:pt idx="91">
                  <c:v>43.425716403942673</c:v>
                </c:pt>
                <c:pt idx="92">
                  <c:v>43.238438530683112</c:v>
                </c:pt>
                <c:pt idx="93">
                  <c:v>43.05155364141693</c:v>
                </c:pt>
                <c:pt idx="94">
                  <c:v>42.8650657294883</c:v>
                </c:pt>
                <c:pt idx="95">
                  <c:v>42.678978172923863</c:v>
                </c:pt>
                <c:pt idx="96">
                  <c:v>42.493293685734145</c:v>
                </c:pt>
                <c:pt idx="97">
                  <c:v>42.308014269338294</c:v>
                </c:pt>
                <c:pt idx="98">
                  <c:v>42.123141164490228</c:v>
                </c:pt>
                <c:pt idx="99">
                  <c:v>41.938674804106633</c:v>
                </c:pt>
                <c:pt idx="100">
                  <c:v>41.754614767434937</c:v>
                </c:pt>
                <c:pt idx="101">
                  <c:v>41.570959736010622</c:v>
                </c:pt>
                <c:pt idx="102">
                  <c:v>41.387707451884204</c:v>
                </c:pt>
                <c:pt idx="103">
                  <c:v>41.20485467860621</c:v>
                </c:pt>
                <c:pt idx="104">
                  <c:v>41.022397165472867</c:v>
                </c:pt>
                <c:pt idx="105">
                  <c:v>40.84032961553622</c:v>
                </c:pt>
                <c:pt idx="106">
                  <c:v>40.658645657883632</c:v>
                </c:pt>
                <c:pt idx="107">
                  <c:v>40.477337824678408</c:v>
                </c:pt>
                <c:pt idx="108">
                  <c:v>40.296397533438004</c:v>
                </c:pt>
                <c:pt idx="109">
                  <c:v>40.11581507500135</c:v>
                </c:pt>
                <c:pt idx="110">
                  <c:v>39.935579607600069</c:v>
                </c:pt>
                <c:pt idx="111">
                  <c:v>39.755679157411876</c:v>
                </c:pt>
                <c:pt idx="112">
                  <c:v>39.57610062591764</c:v>
                </c:pt>
                <c:pt idx="113">
                  <c:v>39.39682980432984</c:v>
                </c:pt>
                <c:pt idx="114">
                  <c:v>39.217851395294176</c:v>
                </c:pt>
                <c:pt idx="115">
                  <c:v>39.039149041990754</c:v>
                </c:pt>
                <c:pt idx="116">
                  <c:v>38.860705364685167</c:v>
                </c:pt>
                <c:pt idx="117">
                  <c:v>38.682502004697156</c:v>
                </c:pt>
                <c:pt idx="118">
                  <c:v>38.504519675664667</c:v>
                </c:pt>
                <c:pt idx="119">
                  <c:v>38.326738221896186</c:v>
                </c:pt>
                <c:pt idx="120">
                  <c:v>38.149136683511088</c:v>
                </c:pt>
                <c:pt idx="121">
                  <c:v>37.97169336798197</c:v>
                </c:pt>
                <c:pt idx="122">
                  <c:v>37.794385927605362</c:v>
                </c:pt>
                <c:pt idx="123">
                  <c:v>37.617191442347462</c:v>
                </c:pt>
                <c:pt idx="124">
                  <c:v>37.440086507433875</c:v>
                </c:pt>
                <c:pt idx="125">
                  <c:v>37.263047324987909</c:v>
                </c:pt>
                <c:pt idx="126">
                  <c:v>37.086049798959536</c:v>
                </c:pt>
                <c:pt idx="127">
                  <c:v>36.909069632543087</c:v>
                </c:pt>
                <c:pt idx="128">
                  <c:v>36.73208242723927</c:v>
                </c:pt>
                <c:pt idx="129">
                  <c:v>36.555063782699698</c:v>
                </c:pt>
                <c:pt idx="130">
                  <c:v>36.377989396472422</c:v>
                </c:pt>
                <c:pt idx="131">
                  <c:v>36.200835162773728</c:v>
                </c:pt>
                <c:pt idx="132">
                  <c:v>36.023577269423001</c:v>
                </c:pt>
                <c:pt idx="133">
                  <c:v>35.846192292105215</c:v>
                </c:pt>
                <c:pt idx="134">
                  <c:v>35.668657285162844</c:v>
                </c:pt>
                <c:pt idx="135">
                  <c:v>35.490949868171604</c:v>
                </c:pt>
                <c:pt idx="136">
                  <c:v>35.313048307612299</c:v>
                </c:pt>
                <c:pt idx="137">
                  <c:v>35.134931593021612</c:v>
                </c:pt>
                <c:pt idx="138">
                  <c:v>34.956579507080185</c:v>
                </c:pt>
                <c:pt idx="139">
                  <c:v>34.777972689179634</c:v>
                </c:pt>
                <c:pt idx="140">
                  <c:v>34.599092692093649</c:v>
                </c:pt>
                <c:pt idx="141">
                  <c:v>34.419922031471344</c:v>
                </c:pt>
                <c:pt idx="142">
                  <c:v>34.240444227956857</c:v>
                </c:pt>
                <c:pt idx="143">
                  <c:v>34.060643841828252</c:v>
                </c:pt>
                <c:pt idx="144">
                  <c:v>33.880506500137272</c:v>
                </c:pt>
                <c:pt idx="145">
                  <c:v>33.700018916411103</c:v>
                </c:pt>
                <c:pt idx="146">
                  <c:v>33.519168903055899</c:v>
                </c:pt>
                <c:pt idx="147">
                  <c:v>33.337945376673268</c:v>
                </c:pt>
                <c:pt idx="148">
                  <c:v>33.156338356565257</c:v>
                </c:pt>
                <c:pt idx="149">
                  <c:v>32.974338956759247</c:v>
                </c:pt>
                <c:pt idx="150">
                  <c:v>32.791939371934625</c:v>
                </c:pt>
                <c:pt idx="151">
                  <c:v>32.609132857671348</c:v>
                </c:pt>
                <c:pt idx="152">
                  <c:v>32.425913705475296</c:v>
                </c:pt>
                <c:pt idx="153">
                  <c:v>32.242277213056212</c:v>
                </c:pt>
                <c:pt idx="154">
                  <c:v>32.05821965035345</c:v>
                </c:pt>
                <c:pt idx="155">
                  <c:v>31.873738221807688</c:v>
                </c:pt>
                <c:pt idx="156">
                  <c:v>31.688831025385117</c:v>
                </c:pt>
                <c:pt idx="157">
                  <c:v>31.503497008847006</c:v>
                </c:pt>
                <c:pt idx="158">
                  <c:v>31.317735923753823</c:v>
                </c:pt>
                <c:pt idx="159">
                  <c:v>31.131548277671953</c:v>
                </c:pt>
                <c:pt idx="160">
                  <c:v>30.94493528503034</c:v>
                </c:pt>
                <c:pt idx="161">
                  <c:v>30.757898817054127</c:v>
                </c:pt>
                <c:pt idx="162">
                  <c:v>30.570441351169197</c:v>
                </c:pt>
                <c:pt idx="163">
                  <c:v>30.382565920246314</c:v>
                </c:pt>
                <c:pt idx="164">
                  <c:v>30.194276062019906</c:v>
                </c:pt>
                <c:pt idx="165">
                  <c:v>30.005575768985011</c:v>
                </c:pt>
                <c:pt idx="166">
                  <c:v>29.816469439044269</c:v>
                </c:pt>
                <c:pt idx="167">
                  <c:v>29.626961827142125</c:v>
                </c:pt>
                <c:pt idx="168">
                  <c:v>29.43705799809301</c:v>
                </c:pt>
                <c:pt idx="169">
                  <c:v>29.246763280780101</c:v>
                </c:pt>
                <c:pt idx="170">
                  <c:v>29.056083223868008</c:v>
                </c:pt>
                <c:pt idx="171">
                  <c:v>28.865023553149626</c:v>
                </c:pt>
                <c:pt idx="172">
                  <c:v>28.673590130614105</c:v>
                </c:pt>
                <c:pt idx="173">
                  <c:v>28.48178891530582</c:v>
                </c:pt>
                <c:pt idx="174">
                  <c:v>28.289625926013798</c:v>
                </c:pt>
                <c:pt idx="175">
                  <c:v>28.097107205816453</c:v>
                </c:pt>
                <c:pt idx="176">
                  <c:v>27.904238788483482</c:v>
                </c:pt>
                <c:pt idx="177">
                  <c:v>27.711026666721835</c:v>
                </c:pt>
                <c:pt idx="178">
                  <c:v>27.517476762237763</c:v>
                </c:pt>
                <c:pt idx="179">
                  <c:v>27.32359489757361</c:v>
                </c:pt>
                <c:pt idx="180">
                  <c:v>27.129386769666027</c:v>
                </c:pt>
                <c:pt idx="181">
                  <c:v>26.934857925065231</c:v>
                </c:pt>
                <c:pt idx="182">
                  <c:v>26.740013736744203</c:v>
                </c:pt>
                <c:pt idx="183">
                  <c:v>26.544859382422658</c:v>
                </c:pt>
                <c:pt idx="184">
                  <c:v>26.34939982432353</c:v>
                </c:pt>
                <c:pt idx="185">
                  <c:v>26.153639790278909</c:v>
                </c:pt>
                <c:pt idx="186">
                  <c:v>25.957583756095858</c:v>
                </c:pt>
                <c:pt idx="187">
                  <c:v>25.761235929095005</c:v>
                </c:pt>
                <c:pt idx="188">
                  <c:v>25.564600232729923</c:v>
                </c:pt>
                <c:pt idx="189">
                  <c:v>25.367680292199786</c:v>
                </c:pt>
                <c:pt idx="190">
                  <c:v>25.17047942096497</c:v>
                </c:pt>
                <c:pt idx="191">
                  <c:v>24.973000608078113</c:v>
                </c:pt>
                <c:pt idx="192">
                  <c:v>24.775246506244542</c:v>
                </c:pt>
                <c:pt idx="193">
                  <c:v>24.577219420530724</c:v>
                </c:pt>
                <c:pt idx="194">
                  <c:v>24.378921297635966</c:v>
                </c:pt>
                <c:pt idx="195">
                  <c:v>24.180353715653915</c:v>
                </c:pt>
                <c:pt idx="196">
                  <c:v>23.981517874245931</c:v>
                </c:pt>
                <c:pt idx="197">
                  <c:v>23.78241458515641</c:v>
                </c:pt>
                <c:pt idx="198">
                  <c:v>23.583044263002545</c:v>
                </c:pt>
                <c:pt idx="199">
                  <c:v>23.383406916273401</c:v>
                </c:pt>
                <c:pt idx="200">
                  <c:v>23.183502138478985</c:v>
                </c:pt>
                <c:pt idx="201">
                  <c:v>22.983329099391902</c:v>
                </c:pt>
                <c:pt idx="202">
                  <c:v>22.782886536329585</c:v>
                </c:pt>
                <c:pt idx="203">
                  <c:v>22.582172745427052</c:v>
                </c:pt>
                <c:pt idx="204">
                  <c:v>22.381185572857024</c:v>
                </c:pt>
                <c:pt idx="205">
                  <c:v>22.17992240595304</c:v>
                </c:pt>
                <c:pt idx="206">
                  <c:v>21.978380164203053</c:v>
                </c:pt>
                <c:pt idx="207">
                  <c:v>21.776555290074665</c:v>
                </c:pt>
                <c:pt idx="208">
                  <c:v>21.574443739647023</c:v>
                </c:pt>
                <c:pt idx="209">
                  <c:v>21.372040973022031</c:v>
                </c:pt>
                <c:pt idx="210">
                  <c:v>21.169341944491809</c:v>
                </c:pt>
                <c:pt idx="211">
                  <c:v>20.966341092449156</c:v>
                </c:pt>
                <c:pt idx="212">
                  <c:v>20.763032329022778</c:v>
                </c:pt>
                <c:pt idx="213">
                  <c:v>20.559409029430856</c:v>
                </c:pt>
                <c:pt idx="214">
                  <c:v>20.355464021048377</c:v>
                </c:pt>
                <c:pt idx="215">
                  <c:v>20.151189572185434</c:v>
                </c:pt>
                <c:pt idx="216">
                  <c:v>19.946577380581299</c:v>
                </c:pt>
                <c:pt idx="217">
                  <c:v>19.741618561624186</c:v>
                </c:pt>
                <c:pt idx="218">
                  <c:v>19.536303636307615</c:v>
                </c:pt>
                <c:pt idx="219">
                  <c:v>19.330622518943013</c:v>
                </c:pt>
                <c:pt idx="220">
                  <c:v>19.124564504651865</c:v>
                </c:pt>
                <c:pt idx="221">
                  <c:v>18.918118256665718</c:v>
                </c:pt>
                <c:pt idx="222">
                  <c:v>18.711271793468935</c:v>
                </c:pt>
                <c:pt idx="223">
                  <c:v>18.504012475823941</c:v>
                </c:pt>
                <c:pt idx="224">
                  <c:v>18.296326993725838</c:v>
                </c:pt>
                <c:pt idx="225">
                  <c:v>18.08820135333924</c:v>
                </c:pt>
                <c:pt idx="226">
                  <c:v>17.879620863975589</c:v>
                </c:pt>
                <c:pt idx="227">
                  <c:v>17.67057012517947</c:v>
                </c:pt>
                <c:pt idx="228">
                  <c:v>17.461033013994033</c:v>
                </c:pt>
                <c:pt idx="229">
                  <c:v>17.250992672491652</c:v>
                </c:pt>
                <c:pt idx="230">
                  <c:v>17.040431495653124</c:v>
                </c:pt>
                <c:pt idx="231">
                  <c:v>16.829331119695851</c:v>
                </c:pt>
                <c:pt idx="232">
                  <c:v>16.617672410954921</c:v>
                </c:pt>
                <c:pt idx="233">
                  <c:v>16.405435455430489</c:v>
                </c:pt>
                <c:pt idx="234">
                  <c:v>16.192599549123319</c:v>
                </c:pt>
                <c:pt idx="235">
                  <c:v>15.979143189290305</c:v>
                </c:pt>
                <c:pt idx="236">
                  <c:v>15.7650440667569</c:v>
                </c:pt>
                <c:pt idx="237">
                  <c:v>15.550279059438294</c:v>
                </c:pt>
                <c:pt idx="238">
                  <c:v>15.334824227222711</c:v>
                </c:pt>
                <c:pt idx="239">
                  <c:v>15.118654808385219</c:v>
                </c:pt>
                <c:pt idx="240">
                  <c:v>14.901745217702249</c:v>
                </c:pt>
                <c:pt idx="241">
                  <c:v>14.68406904645191</c:v>
                </c:pt>
                <c:pt idx="242">
                  <c:v>14.465599064486208</c:v>
                </c:pt>
                <c:pt idx="243">
                  <c:v>14.246307224570597</c:v>
                </c:pt>
                <c:pt idx="244">
                  <c:v>14.026164669193509</c:v>
                </c:pt>
                <c:pt idx="245">
                  <c:v>13.805141740050191</c:v>
                </c:pt>
                <c:pt idx="246">
                  <c:v>13.583207990411497</c:v>
                </c:pt>
                <c:pt idx="247">
                  <c:v>13.360332200588974</c:v>
                </c:pt>
                <c:pt idx="248">
                  <c:v>13.136482396709779</c:v>
                </c:pt>
                <c:pt idx="249">
                  <c:v>12.911625873012042</c:v>
                </c:pt>
                <c:pt idx="250">
                  <c:v>12.685729217870829</c:v>
                </c:pt>
                <c:pt idx="251">
                  <c:v>12.458758343757628</c:v>
                </c:pt>
                <c:pt idx="252">
                  <c:v>12.230678521329896</c:v>
                </c:pt>
                <c:pt idx="253">
                  <c:v>12.001454417836948</c:v>
                </c:pt>
                <c:pt idx="254">
                  <c:v>11.771050140015845</c:v>
                </c:pt>
                <c:pt idx="255">
                  <c:v>11.539429281633392</c:v>
                </c:pt>
                <c:pt idx="256">
                  <c:v>11.306554975815109</c:v>
                </c:pt>
                <c:pt idx="257">
                  <c:v>11.072389952274929</c:v>
                </c:pt>
                <c:pt idx="258">
                  <c:v>10.836896599538324</c:v>
                </c:pt>
                <c:pt idx="259">
                  <c:v>10.6000370322195</c:v>
                </c:pt>
                <c:pt idx="260">
                  <c:v>10.361773163381965</c:v>
                </c:pt>
                <c:pt idx="261">
                  <c:v>10.122066781976038</c:v>
                </c:pt>
                <c:pt idx="262">
                  <c:v>9.880879635308224</c:v>
                </c:pt>
                <c:pt idx="263">
                  <c:v>9.6381735164536604</c:v>
                </c:pt>
                <c:pt idx="264">
                  <c:v>9.3939103564788233</c:v>
                </c:pt>
                <c:pt idx="265">
                  <c:v>9.148052321294962</c:v>
                </c:pt>
                <c:pt idx="266">
                  <c:v>8.9005619129110567</c:v>
                </c:pt>
                <c:pt idx="267">
                  <c:v>8.6514020748055049</c:v>
                </c:pt>
                <c:pt idx="268">
                  <c:v>8.4005363010813436</c:v>
                </c:pt>
                <c:pt idx="269">
                  <c:v>8.1479287490205206</c:v>
                </c:pt>
                <c:pt idx="270">
                  <c:v>7.8935443545947503</c:v>
                </c:pt>
                <c:pt idx="271">
                  <c:v>7.6373489504444505</c:v>
                </c:pt>
                <c:pt idx="272">
                  <c:v>7.3793093857837118</c:v>
                </c:pt>
                <c:pt idx="273">
                  <c:v>7.1193936476440731</c:v>
                </c:pt>
                <c:pt idx="274">
                  <c:v>6.8575709828263687</c:v>
                </c:pt>
                <c:pt idx="275">
                  <c:v>6.5938120198907271</c:v>
                </c:pt>
                <c:pt idx="276">
                  <c:v>6.3280888904818866</c:v>
                </c:pt>
                <c:pt idx="277">
                  <c:v>6.0603753492603394</c:v>
                </c:pt>
                <c:pt idx="278">
                  <c:v>5.790646891688862</c:v>
                </c:pt>
                <c:pt idx="279">
                  <c:v>5.5188808689137359</c:v>
                </c:pt>
                <c:pt idx="280">
                  <c:v>5.2450565989738243</c:v>
                </c:pt>
                <c:pt idx="281">
                  <c:v>4.9691554735802477</c:v>
                </c:pt>
                <c:pt idx="282">
                  <c:v>4.6911610597181364</c:v>
                </c:pt>
                <c:pt idx="283">
                  <c:v>4.4110591953533493</c:v>
                </c:pt>
                <c:pt idx="284">
                  <c:v>4.1288380785532972</c:v>
                </c:pt>
                <c:pt idx="285">
                  <c:v>3.8444883493816273</c:v>
                </c:pt>
                <c:pt idx="286">
                  <c:v>3.5580031639730736</c:v>
                </c:pt>
                <c:pt idx="287">
                  <c:v>3.2693782602582382</c:v>
                </c:pt>
                <c:pt idx="288">
                  <c:v>2.9786120148760165</c:v>
                </c:pt>
                <c:pt idx="289">
                  <c:v>2.6857054908875821</c:v>
                </c:pt>
                <c:pt idx="290">
                  <c:v>2.390662475984608</c:v>
                </c:pt>
                <c:pt idx="291">
                  <c:v>2.0934895109761547</c:v>
                </c:pt>
                <c:pt idx="292">
                  <c:v>1.7941959084181054</c:v>
                </c:pt>
                <c:pt idx="293">
                  <c:v>1.4927937613533797</c:v>
                </c:pt>
                <c:pt idx="294">
                  <c:v>1.1892979422105616</c:v>
                </c:pt>
                <c:pt idx="295">
                  <c:v>0.8837260920086466</c:v>
                </c:pt>
                <c:pt idx="296">
                  <c:v>0.57609860010016334</c:v>
                </c:pt>
                <c:pt idx="297">
                  <c:v>0.26643857477108573</c:v>
                </c:pt>
                <c:pt idx="298">
                  <c:v>-4.5228194903457905E-2</c:v>
                </c:pt>
                <c:pt idx="299">
                  <c:v>-0.35887328547471403</c:v>
                </c:pt>
                <c:pt idx="300">
                  <c:v>-0.67446569326776906</c:v>
                </c:pt>
                <c:pt idx="301">
                  <c:v>-0.99197189566121224</c:v>
                </c:pt>
                <c:pt idx="302">
                  <c:v>-1.3113559188504773</c:v>
                </c:pt>
                <c:pt idx="303">
                  <c:v>-1.6325794114065069</c:v>
                </c:pt>
                <c:pt idx="304">
                  <c:v>-1.9556017229065996</c:v>
                </c:pt>
                <c:pt idx="305">
                  <c:v>-2.280379986897358</c:v>
                </c:pt>
                <c:pt idx="306">
                  <c:v>-2.6068692074359294</c:v>
                </c:pt>
                <c:pt idx="307">
                  <c:v>-2.9350223484538525</c:v>
                </c:pt>
                <c:pt idx="308">
                  <c:v>-3.2647904251962441</c:v>
                </c:pt>
                <c:pt idx="309">
                  <c:v>-3.596122597005238</c:v>
                </c:pt>
                <c:pt idx="310">
                  <c:v>-3.9289662607401277</c:v>
                </c:pt>
                <c:pt idx="311">
                  <c:v>-4.2632671441595029</c:v>
                </c:pt>
                <c:pt idx="312">
                  <c:v>-4.5989693986298601</c:v>
                </c:pt>
                <c:pt idx="313">
                  <c:v>-4.93601569056682</c:v>
                </c:pt>
                <c:pt idx="314">
                  <c:v>-5.2743472910677172</c:v>
                </c:pt>
                <c:pt idx="315">
                  <c:v>-5.6139041632456399</c:v>
                </c:pt>
                <c:pt idx="316">
                  <c:v>-5.9546250468312341</c:v>
                </c:pt>
                <c:pt idx="317">
                  <c:v>-6.2964475396683648</c:v>
                </c:pt>
                <c:pt idx="318">
                  <c:v>-6.6393081757878916</c:v>
                </c:pt>
                <c:pt idx="319">
                  <c:v>-6.9831424998062683</c:v>
                </c:pt>
                <c:pt idx="320">
                  <c:v>-7.3278851374552403</c:v>
                </c:pt>
                <c:pt idx="321">
                  <c:v>-7.6734698621054109</c:v>
                </c:pt>
                <c:pt idx="322">
                  <c:v>-8.0198296572113108</c:v>
                </c:pt>
                <c:pt idx="323">
                  <c:v>-8.3668967746538101</c:v>
                </c:pt>
                <c:pt idx="324">
                  <c:v>-8.714602789015224</c:v>
                </c:pt>
                <c:pt idx="325">
                  <c:v>-9.0628786478691978</c:v>
                </c:pt>
                <c:pt idx="326">
                  <c:v>-9.4116547182187169</c:v>
                </c:pt>
                <c:pt idx="327">
                  <c:v>-9.7608608292554937</c:v>
                </c:pt>
                <c:pt idx="328">
                  <c:v>-10.110426311659852</c:v>
                </c:pt>
                <c:pt idx="329">
                  <c:v>-10.460280033691095</c:v>
                </c:pt>
                <c:pt idx="330">
                  <c:v>-10.810350434356506</c:v>
                </c:pt>
                <c:pt idx="331">
                  <c:v>-11.160565553972821</c:v>
                </c:pt>
                <c:pt idx="332">
                  <c:v>-11.510853062460127</c:v>
                </c:pt>
                <c:pt idx="333">
                  <c:v>-11.861140285728906</c:v>
                </c:pt>
                <c:pt idx="334">
                  <c:v>-12.211354230537976</c:v>
                </c:pt>
                <c:pt idx="335">
                  <c:v>-12.561421608212465</c:v>
                </c:pt>
                <c:pt idx="336">
                  <c:v>-12.911268857621961</c:v>
                </c:pt>
                <c:pt idx="337">
                  <c:v>-13.260822167821518</c:v>
                </c:pt>
                <c:pt idx="338">
                  <c:v>-13.610007500759373</c:v>
                </c:pt>
                <c:pt idx="339">
                  <c:v>-13.958750614452018</c:v>
                </c:pt>
                <c:pt idx="340">
                  <c:v>-14.306977087020346</c:v>
                </c:pt>
                <c:pt idx="341">
                  <c:v>-14.654612341966299</c:v>
                </c:pt>
                <c:pt idx="342">
                  <c:v>-15.00158167505791</c:v>
                </c:pt>
                <c:pt idx="343">
                  <c:v>-15.347810283168188</c:v>
                </c:pt>
                <c:pt idx="344">
                  <c:v>-15.693223295389835</c:v>
                </c:pt>
                <c:pt idx="345">
                  <c:v>-16.037745806722544</c:v>
                </c:pt>
                <c:pt idx="346">
                  <c:v>-16.381302914597619</c:v>
                </c:pt>
                <c:pt idx="347">
                  <c:v>-16.72381975846513</c:v>
                </c:pt>
                <c:pt idx="348">
                  <c:v>-17.06522156264009</c:v>
                </c:pt>
                <c:pt idx="349">
                  <c:v>-17.405433682552783</c:v>
                </c:pt>
                <c:pt idx="350">
                  <c:v>-17.74438165450767</c:v>
                </c:pt>
                <c:pt idx="351">
                  <c:v>-18.081991249006755</c:v>
                </c:pt>
                <c:pt idx="352">
                  <c:v>-18.418188527643736</c:v>
                </c:pt>
                <c:pt idx="353">
                  <c:v>-18.752899903519371</c:v>
                </c:pt>
                <c:pt idx="354">
                  <c:v>-19.086052205079177</c:v>
                </c:pt>
                <c:pt idx="355">
                  <c:v>-19.41757274321391</c:v>
                </c:pt>
                <c:pt idx="356">
                  <c:v>-19.747389381410883</c:v>
                </c:pt>
                <c:pt idx="357">
                  <c:v>-20.075430608689736</c:v>
                </c:pt>
                <c:pt idx="358">
                  <c:v>-20.401625614995332</c:v>
                </c:pt>
                <c:pt idx="359">
                  <c:v>-20.725904368676048</c:v>
                </c:pt>
                <c:pt idx="360">
                  <c:v>-21.048197695619141</c:v>
                </c:pt>
                <c:pt idx="361">
                  <c:v>-21.36843735957023</c:v>
                </c:pt>
                <c:pt idx="362">
                  <c:v>-21.686556143123596</c:v>
                </c:pt>
                <c:pt idx="363">
                  <c:v>-22.002487928829957</c:v>
                </c:pt>
                <c:pt idx="364">
                  <c:v>-22.316167779838576</c:v>
                </c:pt>
                <c:pt idx="365">
                  <c:v>-22.627532019468791</c:v>
                </c:pt>
                <c:pt idx="366">
                  <c:v>-22.936518309088413</c:v>
                </c:pt>
                <c:pt idx="367">
                  <c:v>-23.243065723667534</c:v>
                </c:pt>
                <c:pt idx="368">
                  <c:v>-23.547114824381772</c:v>
                </c:pt>
                <c:pt idx="369">
                  <c:v>-23.848607727647281</c:v>
                </c:pt>
                <c:pt idx="370">
                  <c:v>-24.147488169990169</c:v>
                </c:pt>
                <c:pt idx="371">
                  <c:v>-24.443701568186317</c:v>
                </c:pt>
                <c:pt idx="372">
                  <c:v>-24.737195074145625</c:v>
                </c:pt>
                <c:pt idx="373">
                  <c:v>-25.027917624065473</c:v>
                </c:pt>
                <c:pt idx="374">
                  <c:v>-25.315819981436924</c:v>
                </c:pt>
                <c:pt idx="375">
                  <c:v>-25.600854773554545</c:v>
                </c:pt>
                <c:pt idx="376">
                  <c:v>-25.882976521255689</c:v>
                </c:pt>
                <c:pt idx="377">
                  <c:v>-26.162141661694307</c:v>
                </c:pt>
                <c:pt idx="378">
                  <c:v>-26.438308564043904</c:v>
                </c:pt>
                <c:pt idx="379">
                  <c:v>-26.711437538110321</c:v>
                </c:pt>
                <c:pt idx="380">
                  <c:v>-26.981490835930586</c:v>
                </c:pt>
                <c:pt idx="381">
                  <c:v>-27.248432646524051</c:v>
                </c:pt>
                <c:pt idx="382">
                  <c:v>-27.512229084058365</c:v>
                </c:pt>
                <c:pt idx="383">
                  <c:v>-27.772848169776282</c:v>
                </c:pt>
                <c:pt idx="384">
                  <c:v>-28.030259808121745</c:v>
                </c:pt>
                <c:pt idx="385">
                  <c:v>-28.28443575757667</c:v>
                </c:pt>
                <c:pt idx="386">
                  <c:v>-28.535349596797396</c:v>
                </c:pt>
                <c:pt idx="387">
                  <c:v>-28.782976686700184</c:v>
                </c:pt>
                <c:pt idx="388">
                  <c:v>-29.027294129200556</c:v>
                </c:pt>
                <c:pt idx="389">
                  <c:v>-29.268280723354245</c:v>
                </c:pt>
                <c:pt idx="390">
                  <c:v>-29.505916919677794</c:v>
                </c:pt>
                <c:pt idx="391">
                  <c:v>-29.740184773447091</c:v>
                </c:pt>
                <c:pt idx="392">
                  <c:v>-29.971067897777086</c:v>
                </c:pt>
                <c:pt idx="393">
                  <c:v>-30.198551417279532</c:v>
                </c:pt>
                <c:pt idx="394">
                  <c:v>-30.422621923076171</c:v>
                </c:pt>
                <c:pt idx="395">
                  <c:v>-30.643267429910786</c:v>
                </c:pt>
                <c:pt idx="396">
                  <c:v>-30.860477336061468</c:v>
                </c:pt>
                <c:pt idx="397">
                  <c:v>-31.074242386695662</c:v>
                </c:pt>
                <c:pt idx="398">
                  <c:v>-31.284554641245595</c:v>
                </c:pt>
                <c:pt idx="399">
                  <c:v>-31.491407445305548</c:v>
                </c:pt>
                <c:pt idx="400">
                  <c:v>-31.694795407467701</c:v>
                </c:pt>
                <c:pt idx="401">
                  <c:v>-31.894714381420709</c:v>
                </c:pt>
                <c:pt idx="402">
                  <c:v>-32.091161453542867</c:v>
                </c:pt>
                <c:pt idx="403">
                  <c:v>-32.284134936115791</c:v>
                </c:pt>
                <c:pt idx="404">
                  <c:v>-32.473634366186815</c:v>
                </c:pt>
                <c:pt idx="405">
                  <c:v>-32.65966051000153</c:v>
                </c:pt>
                <c:pt idx="406">
                  <c:v>-32.842215372828051</c:v>
                </c:pt>
                <c:pt idx="407">
                  <c:v>-33.021302213895673</c:v>
                </c:pt>
                <c:pt idx="408">
                  <c:v>-33.196925566073439</c:v>
                </c:pt>
                <c:pt idx="409">
                  <c:v>-33.369091259828181</c:v>
                </c:pt>
                <c:pt idx="410">
                  <c:v>-33.537806450917472</c:v>
                </c:pt>
                <c:pt idx="411">
                  <c:v>-33.703079651202806</c:v>
                </c:pt>
                <c:pt idx="412">
                  <c:v>-33.864920761902873</c:v>
                </c:pt>
                <c:pt idx="413">
                  <c:v>-34.023341108556465</c:v>
                </c:pt>
                <c:pt idx="414">
                  <c:v>-34.178353476923206</c:v>
                </c:pt>
                <c:pt idx="415">
                  <c:v>-34.329972149025345</c:v>
                </c:pt>
                <c:pt idx="416">
                  <c:v>-34.478212938512279</c:v>
                </c:pt>
                <c:pt idx="417">
                  <c:v>-34.623093224536696</c:v>
                </c:pt>
                <c:pt idx="418">
                  <c:v>-34.764631983332784</c:v>
                </c:pt>
                <c:pt idx="419">
                  <c:v>-34.90284981671784</c:v>
                </c:pt>
                <c:pt idx="420">
                  <c:v>-35.037768976771162</c:v>
                </c:pt>
                <c:pt idx="421">
                  <c:v>-35.169413385990381</c:v>
                </c:pt>
                <c:pt idx="422">
                  <c:v>-35.297808652288367</c:v>
                </c:pt>
                <c:pt idx="423">
                  <c:v>-35.422982078254897</c:v>
                </c:pt>
                <c:pt idx="424">
                  <c:v>-35.544962664188851</c:v>
                </c:pt>
                <c:pt idx="425">
                  <c:v>-35.663781104485381</c:v>
                </c:pt>
                <c:pt idx="426">
                  <c:v>-35.779469777053521</c:v>
                </c:pt>
                <c:pt idx="427">
                  <c:v>-35.892062725527374</c:v>
                </c:pt>
                <c:pt idx="428">
                  <c:v>-36.001595634134283</c:v>
                </c:pt>
                <c:pt idx="429">
                  <c:v>-36.108105795167759</c:v>
                </c:pt>
                <c:pt idx="430">
                  <c:v>-36.211632069118359</c:v>
                </c:pt>
                <c:pt idx="431">
                  <c:v>-36.312214837594787</c:v>
                </c:pt>
                <c:pt idx="432">
                  <c:v>-36.40989594925977</c:v>
                </c:pt>
                <c:pt idx="433">
                  <c:v>-36.504718659086535</c:v>
                </c:pt>
                <c:pt idx="434">
                  <c:v>-36.596727561312207</c:v>
                </c:pt>
                <c:pt idx="435">
                  <c:v>-36.685968516533556</c:v>
                </c:pt>
                <c:pt idx="436">
                  <c:v>-36.772488573449984</c:v>
                </c:pt>
                <c:pt idx="437">
                  <c:v>-36.856335885805294</c:v>
                </c:pt>
                <c:pt idx="438">
                  <c:v>-36.937559625120358</c:v>
                </c:pt>
                <c:pt idx="439">
                  <c:v>-37.016209889842095</c:v>
                </c:pt>
                <c:pt idx="440">
                  <c:v>-37.092337611551145</c:v>
                </c:pt>
                <c:pt idx="441">
                  <c:v>-37.165994458884946</c:v>
                </c:pt>
                <c:pt idx="442">
                  <c:v>-37.237232739833047</c:v>
                </c:pt>
                <c:pt idx="443">
                  <c:v>-37.306105303059809</c:v>
                </c:pt>
                <c:pt idx="444">
                  <c:v>-37.372665438888617</c:v>
                </c:pt>
                <c:pt idx="445">
                  <c:v>-37.436966780569009</c:v>
                </c:pt>
                <c:pt idx="446">
                  <c:v>-37.499063206411847</c:v>
                </c:pt>
                <c:pt idx="447">
                  <c:v>-37.55900874335282</c:v>
                </c:pt>
                <c:pt idx="448">
                  <c:v>-37.616857472459223</c:v>
                </c:pt>
                <c:pt idx="449">
                  <c:v>-37.672663436860205</c:v>
                </c:pt>
                <c:pt idx="450">
                  <c:v>-37.726480552529743</c:v>
                </c:pt>
                <c:pt idx="451">
                  <c:v>-37.778362522310715</c:v>
                </c:pt>
                <c:pt idx="452">
                  <c:v>-37.828362753516188</c:v>
                </c:pt>
                <c:pt idx="453">
                  <c:v>-37.876534279400154</c:v>
                </c:pt>
                <c:pt idx="454">
                  <c:v>-37.922929684738158</c:v>
                </c:pt>
                <c:pt idx="455">
                  <c:v>-37.967601035714075</c:v>
                </c:pt>
                <c:pt idx="456">
                  <c:v>-38.010599814262555</c:v>
                </c:pt>
                <c:pt idx="457">
                  <c:v>-38.051976856974015</c:v>
                </c:pt>
                <c:pt idx="458">
                  <c:v>-38.091782298626107</c:v>
                </c:pt>
                <c:pt idx="459">
                  <c:v>-38.130065520370131</c:v>
                </c:pt>
                <c:pt idx="460">
                  <c:v>-38.166875102562145</c:v>
                </c:pt>
                <c:pt idx="461">
                  <c:v>-38.202258782196566</c:v>
                </c:pt>
                <c:pt idx="462">
                  <c:v>-38.236263414874109</c:v>
                </c:pt>
                <c:pt idx="463">
                  <c:v>-38.268934941203533</c:v>
                </c:pt>
                <c:pt idx="464">
                  <c:v>-38.300318357519608</c:v>
                </c:pt>
                <c:pt idx="465">
                  <c:v>-38.330457690775894</c:v>
                </c:pt>
                <c:pt idx="466">
                  <c:v>-38.359395977457247</c:v>
                </c:pt>
                <c:pt idx="467">
                  <c:v>-38.387175246338828</c:v>
                </c:pt>
                <c:pt idx="468">
                  <c:v>-38.413836504914173</c:v>
                </c:pt>
                <c:pt idx="469">
                  <c:v>-38.43941972929796</c:v>
                </c:pt>
                <c:pt idx="470">
                  <c:v>-38.463963857410654</c:v>
                </c:pt>
                <c:pt idx="471">
                  <c:v>-38.487506785243141</c:v>
                </c:pt>
                <c:pt idx="472">
                  <c:v>-38.510085366001064</c:v>
                </c:pt>
                <c:pt idx="473">
                  <c:v>-38.531735411926824</c:v>
                </c:pt>
                <c:pt idx="474">
                  <c:v>-38.55249169859777</c:v>
                </c:pt>
                <c:pt idx="475">
                  <c:v>-38.572387971505798</c:v>
                </c:pt>
                <c:pt idx="476">
                  <c:v>-38.591456954724123</c:v>
                </c:pt>
                <c:pt idx="477">
                  <c:v>-38.609730361473055</c:v>
                </c:pt>
                <c:pt idx="478">
                  <c:v>-38.627238906405125</c:v>
                </c:pt>
                <c:pt idx="479">
                  <c:v>-38.644012319433038</c:v>
                </c:pt>
                <c:pt idx="480">
                  <c:v>-38.660079360934283</c:v>
                </c:pt>
                <c:pt idx="481">
                  <c:v>-38.675467838172615</c:v>
                </c:pt>
                <c:pt idx="482">
                  <c:v>-38.690204622784783</c:v>
                </c:pt>
                <c:pt idx="483">
                  <c:v>-38.704315669189519</c:v>
                </c:pt>
                <c:pt idx="484">
                  <c:v>-38.717826033785578</c:v>
                </c:pt>
                <c:pt idx="485">
                  <c:v>-38.730759894809431</c:v>
                </c:pt>
                <c:pt idx="486">
                  <c:v>-38.743140572738469</c:v>
                </c:pt>
                <c:pt idx="487">
                  <c:v>-38.754990551127378</c:v>
                </c:pt>
                <c:pt idx="488">
                  <c:v>-38.766331497777614</c:v>
                </c:pt>
                <c:pt idx="489">
                  <c:v>-38.7771842861453</c:v>
                </c:pt>
                <c:pt idx="490">
                  <c:v>-38.787569016903078</c:v>
                </c:pt>
                <c:pt idx="491">
                  <c:v>-38.797505039574688</c:v>
                </c:pt>
                <c:pt idx="492">
                  <c:v>-38.807010974172954</c:v>
                </c:pt>
                <c:pt idx="493">
                  <c:v>-38.816104732774505</c:v>
                </c:pt>
                <c:pt idx="494">
                  <c:v>-38.824803540973065</c:v>
                </c:pt>
                <c:pt idx="495">
                  <c:v>-38.833123959157938</c:v>
                </c:pt>
                <c:pt idx="496">
                  <c:v>-38.841081903571812</c:v>
                </c:pt>
                <c:pt idx="497">
                  <c:v>-38.848692667104025</c:v>
                </c:pt>
                <c:pt idx="498">
                  <c:v>-38.855970939785095</c:v>
                </c:pt>
                <c:pt idx="499">
                  <c:v>-38.862930828947214</c:v>
                </c:pt>
                <c:pt idx="500">
                  <c:v>-38.869585879025848</c:v>
                </c:pt>
                <c:pt idx="501">
                  <c:v>-38.875949090975034</c:v>
                </c:pt>
                <c:pt idx="502">
                  <c:v>-38.882032941280244</c:v>
                </c:pt>
                <c:pt idx="503">
                  <c:v>-38.887849400547893</c:v>
                </c:pt>
                <c:pt idx="504">
                  <c:v>-38.893409951660693</c:v>
                </c:pt>
                <c:pt idx="505">
                  <c:v>-38.898725607486455</c:v>
                </c:pt>
                <c:pt idx="506">
                  <c:v>-38.903806928131885</c:v>
                </c:pt>
                <c:pt idx="507">
                  <c:v>-38.908664037737523</c:v>
                </c:pt>
                <c:pt idx="508">
                  <c:v>-38.913306640805942</c:v>
                </c:pt>
                <c:pt idx="509">
                  <c:v>-38.917744038066701</c:v>
                </c:pt>
                <c:pt idx="510">
                  <c:v>-38.921985141872717</c:v>
                </c:pt>
                <c:pt idx="511">
                  <c:v>-38.926038491133774</c:v>
                </c:pt>
                <c:pt idx="512">
                  <c:v>-38.929912265786022</c:v>
                </c:pt>
                <c:pt idx="513">
                  <c:v>-38.93361430080575</c:v>
                </c:pt>
                <c:pt idx="514">
                  <c:v>-38.937152099768412</c:v>
                </c:pt>
                <c:pt idx="515">
                  <c:v>-38.940532847962274</c:v>
                </c:pt>
                <c:pt idx="516">
                  <c:v>-38.943763425061675</c:v>
                </c:pt>
                <c:pt idx="517">
                  <c:v>-38.946850417367436</c:v>
                </c:pt>
                <c:pt idx="518">
                  <c:v>-38.949800129624357</c:v>
                </c:pt>
                <c:pt idx="519">
                  <c:v>-38.952618596422802</c:v>
                </c:pt>
                <c:pt idx="520">
                  <c:v>-38.955311593194011</c:v>
                </c:pt>
                <c:pt idx="521">
                  <c:v>-38.957884646808047</c:v>
                </c:pt>
                <c:pt idx="522">
                  <c:v>-38.960343045786992</c:v>
                </c:pt>
                <c:pt idx="523">
                  <c:v>-38.962691850137851</c:v>
                </c:pt>
                <c:pt idx="524">
                  <c:v>-38.964935900821914</c:v>
                </c:pt>
                <c:pt idx="525">
                  <c:v>-38.967079828864335</c:v>
                </c:pt>
                <c:pt idx="526">
                  <c:v>-38.96912806411995</c:v>
                </c:pt>
                <c:pt idx="527">
                  <c:v>-38.971084843700638</c:v>
                </c:pt>
                <c:pt idx="528">
                  <c:v>-38.972954220079373</c:v>
                </c:pt>
                <c:pt idx="529">
                  <c:v>-38.974740068874603</c:v>
                </c:pt>
                <c:pt idx="530">
                  <c:v>-38.976446096333397</c:v>
                </c:pt>
                <c:pt idx="531">
                  <c:v>-38.978075846516113</c:v>
                </c:pt>
                <c:pt idx="532">
                  <c:v>-38.979632708195759</c:v>
                </c:pt>
                <c:pt idx="533">
                  <c:v>-38.981119921481422</c:v>
                </c:pt>
                <c:pt idx="534">
                  <c:v>-38.982540584175119</c:v>
                </c:pt>
                <c:pt idx="535">
                  <c:v>-38.983897657870926</c:v>
                </c:pt>
                <c:pt idx="536">
                  <c:v>-38.985193973806517</c:v>
                </c:pt>
                <c:pt idx="537">
                  <c:v>-38.986432238474713</c:v>
                </c:pt>
                <c:pt idx="538">
                  <c:v>-38.98761503900522</c:v>
                </c:pt>
                <c:pt idx="539">
                  <c:v>-38.988744848323279</c:v>
                </c:pt>
                <c:pt idx="540">
                  <c:v>-38.989824030096166</c:v>
                </c:pt>
                <c:pt idx="541">
                  <c:v>-38.990854843471993</c:v>
                </c:pt>
              </c:numCache>
            </c:numRef>
          </c:yVal>
          <c:smooth val="1"/>
          <c:extLst>
            <c:ext xmlns:c16="http://schemas.microsoft.com/office/drawing/2014/chart" uri="{C3380CC4-5D6E-409C-BE32-E72D297353CC}">
              <c16:uniqueId val="{00000000-AD11-40FF-AAF8-E4D177FF3352}"/>
            </c:ext>
          </c:extLst>
        </c:ser>
        <c:dLbls>
          <c:showLegendKey val="0"/>
          <c:showVal val="0"/>
          <c:showCatName val="0"/>
          <c:showSerName val="0"/>
          <c:showPercent val="0"/>
          <c:showBubbleSize val="0"/>
        </c:dLbls>
        <c:axId val="555344640"/>
        <c:axId val="555346560"/>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Loop_Modeling!$BN$19:$BN$560</c:f>
              <c:numCache>
                <c:formatCode>General</c:formatCode>
                <c:ptCount val="542"/>
                <c:pt idx="0">
                  <c:v>90.637404242284575</c:v>
                </c:pt>
                <c:pt idx="1">
                  <c:v>90.652149866058579</c:v>
                </c:pt>
                <c:pt idx="2">
                  <c:v>90.66723173679857</c:v>
                </c:pt>
                <c:pt idx="3">
                  <c:v>90.682657173946737</c:v>
                </c:pt>
                <c:pt idx="4">
                  <c:v>90.698433631227275</c:v>
                </c:pt>
                <c:pt idx="5">
                  <c:v>90.714568697239883</c:v>
                </c:pt>
                <c:pt idx="6">
                  <c:v>90.731070095893799</c:v>
                </c:pt>
                <c:pt idx="7">
                  <c:v>90.747945686664522</c:v>
                </c:pt>
                <c:pt idx="8">
                  <c:v>90.765203464659066</c:v>
                </c:pt>
                <c:pt idx="9">
                  <c:v>90.782851560470007</c:v>
                </c:pt>
                <c:pt idx="10">
                  <c:v>90.800898239801199</c:v>
                </c:pt>
                <c:pt idx="11">
                  <c:v>90.819351902843621</c:v>
                </c:pt>
                <c:pt idx="12">
                  <c:v>90.838221083380319</c:v>
                </c:pt>
                <c:pt idx="13">
                  <c:v>90.857514447597509</c:v>
                </c:pt>
                <c:pt idx="14">
                  <c:v>90.877240792576885</c:v>
                </c:pt>
                <c:pt idx="15">
                  <c:v>90.897409044442725</c:v>
                </c:pt>
                <c:pt idx="16">
                  <c:v>90.918028256136765</c:v>
                </c:pt>
                <c:pt idx="17">
                  <c:v>90.939107604789797</c:v>
                </c:pt>
                <c:pt idx="18">
                  <c:v>90.960656388658776</c:v>
                </c:pt>
                <c:pt idx="19">
                  <c:v>90.982684023596477</c:v>
                </c:pt>
                <c:pt idx="20">
                  <c:v>91.005200039016287</c:v>
                </c:pt>
                <c:pt idx="21">
                  <c:v>91.028214073315596</c:v>
                </c:pt>
                <c:pt idx="22">
                  <c:v>91.051735868716236</c:v>
                </c:pt>
                <c:pt idx="23">
                  <c:v>91.075775265480075</c:v>
                </c:pt>
                <c:pt idx="24">
                  <c:v>91.100342195453578</c:v>
                </c:pt>
                <c:pt idx="25">
                  <c:v>91.125446674894505</c:v>
                </c:pt>
                <c:pt idx="26">
                  <c:v>91.151098796527734</c:v>
                </c:pt>
                <c:pt idx="27">
                  <c:v>91.177308720779948</c:v>
                </c:pt>
                <c:pt idx="28">
                  <c:v>91.204086666133207</c:v>
                </c:pt>
                <c:pt idx="29">
                  <c:v>91.231442898540465</c:v>
                </c:pt>
                <c:pt idx="30">
                  <c:v>91.259387719838514</c:v>
                </c:pt>
                <c:pt idx="31">
                  <c:v>91.287931455093158</c:v>
                </c:pt>
                <c:pt idx="32">
                  <c:v>91.317084438807299</c:v>
                </c:pt>
                <c:pt idx="33">
                  <c:v>91.346856999919083</c:v>
                </c:pt>
                <c:pt idx="34">
                  <c:v>91.377259445513403</c:v>
                </c:pt>
                <c:pt idx="35">
                  <c:v>91.408302043169371</c:v>
                </c:pt>
                <c:pt idx="36">
                  <c:v>91.43999500185744</c:v>
                </c:pt>
                <c:pt idx="37">
                  <c:v>91.472348451302139</c:v>
                </c:pt>
                <c:pt idx="38">
                  <c:v>91.505372419719748</c:v>
                </c:pt>
                <c:pt idx="39">
                  <c:v>91.539076809837766</c:v>
                </c:pt>
                <c:pt idx="40">
                  <c:v>91.573471373098371</c:v>
                </c:pt>
                <c:pt idx="41">
                  <c:v>91.608565681947539</c:v>
                </c:pt>
                <c:pt idx="42">
                  <c:v>91.644369100106942</c:v>
                </c:pt>
                <c:pt idx="43">
                  <c:v>91.68089075072136</c:v>
                </c:pt>
                <c:pt idx="44">
                  <c:v>91.718139482276115</c:v>
                </c:pt>
                <c:pt idx="45">
                  <c:v>91.756123832172293</c:v>
                </c:pt>
                <c:pt idx="46">
                  <c:v>91.794851987848645</c:v>
                </c:pt>
                <c:pt idx="47">
                  <c:v>91.834331745338176</c:v>
                </c:pt>
                <c:pt idx="48">
                  <c:v>91.87457046514352</c:v>
                </c:pt>
                <c:pt idx="49">
                  <c:v>91.915575025318816</c:v>
                </c:pt>
                <c:pt idx="50">
                  <c:v>91.957351771646202</c:v>
                </c:pt>
                <c:pt idx="51">
                  <c:v>91.999906464792232</c:v>
                </c:pt>
                <c:pt idx="52">
                  <c:v>92.043244224340526</c:v>
                </c:pt>
                <c:pt idx="53">
                  <c:v>92.08736946959182</c:v>
                </c:pt>
                <c:pt idx="54">
                  <c:v>92.132285857034418</c:v>
                </c:pt>
                <c:pt idx="55">
                  <c:v>92.1779962143913</c:v>
                </c:pt>
                <c:pt idx="56">
                  <c:v>92.224502471159298</c:v>
                </c:pt>
                <c:pt idx="57">
                  <c:v>92.271805585565133</c:v>
                </c:pt>
                <c:pt idx="58">
                  <c:v>92.319905467877319</c:v>
                </c:pt>
                <c:pt idx="59">
                  <c:v>92.368800900021753</c:v>
                </c:pt>
                <c:pt idx="60">
                  <c:v>92.418489451472567</c:v>
                </c:pt>
                <c:pt idx="61">
                  <c:v>92.468967391402259</c:v>
                </c:pt>
                <c:pt idx="62">
                  <c:v>92.520229597099657</c:v>
                </c:pt>
                <c:pt idx="63">
                  <c:v>92.572269458690187</c:v>
                </c:pt>
                <c:pt idx="64">
                  <c:v>92.625078780217962</c:v>
                </c:pt>
                <c:pt idx="65">
                  <c:v>92.678647677181644</c:v>
                </c:pt>
                <c:pt idx="66">
                  <c:v>92.732964470652504</c:v>
                </c:pt>
                <c:pt idx="67">
                  <c:v>92.788015578137177</c:v>
                </c:pt>
                <c:pt idx="68">
                  <c:v>92.84378540139538</c:v>
                </c:pt>
                <c:pt idx="69">
                  <c:v>92.900256211465106</c:v>
                </c:pt>
                <c:pt idx="70">
                  <c:v>92.957408031199677</c:v>
                </c:pt>
                <c:pt idx="71">
                  <c:v>93.015218515676352</c:v>
                </c:pt>
                <c:pt idx="72">
                  <c:v>93.073662830893085</c:v>
                </c:pt>
                <c:pt idx="73">
                  <c:v>93.132713531234941</c:v>
                </c:pt>
                <c:pt idx="74">
                  <c:v>93.192340436257538</c:v>
                </c:pt>
                <c:pt idx="75">
                  <c:v>93.252510507403059</c:v>
                </c:pt>
                <c:pt idx="76">
                  <c:v>93.313187725344065</c:v>
                </c:pt>
                <c:pt idx="77">
                  <c:v>93.374332968721035</c:v>
                </c:pt>
                <c:pt idx="78">
                  <c:v>93.435903895123261</c:v>
                </c:pt>
                <c:pt idx="79">
                  <c:v>93.497854825240424</c:v>
                </c:pt>
                <c:pt idx="80">
                  <c:v>93.560136631201118</c:v>
                </c:pt>
                <c:pt idx="81">
                  <c:v>93.622696630187406</c:v>
                </c:pt>
                <c:pt idx="82">
                  <c:v>93.685478484505708</c:v>
                </c:pt>
                <c:pt idx="83">
                  <c:v>93.748422109366985</c:v>
                </c:pt>
                <c:pt idx="84">
                  <c:v>93.811463589709035</c:v>
                </c:pt>
                <c:pt idx="85">
                  <c:v>93.874535107462023</c:v>
                </c:pt>
                <c:pt idx="86">
                  <c:v>93.937564880723713</c:v>
                </c:pt>
                <c:pt idx="87">
                  <c:v>94.000477116364166</c:v>
                </c:pt>
                <c:pt idx="88">
                  <c:v>94.063191977627</c:v>
                </c:pt>
                <c:pt idx="89">
                  <c:v>94.125625568321027</c:v>
                </c:pt>
                <c:pt idx="90">
                  <c:v>94.187689935217861</c:v>
                </c:pt>
                <c:pt idx="91">
                  <c:v>94.249293090265056</c:v>
                </c:pt>
                <c:pt idx="92">
                  <c:v>94.310339054206807</c:v>
                </c:pt>
                <c:pt idx="93">
                  <c:v>94.370727923161695</c:v>
                </c:pt>
                <c:pt idx="94">
                  <c:v>94.430355959637183</c:v>
                </c:pt>
                <c:pt idx="95">
                  <c:v>94.489115709371049</c:v>
                </c:pt>
                <c:pt idx="96">
                  <c:v>94.546896145271532</c:v>
                </c:pt>
                <c:pt idx="97">
                  <c:v>94.603582839572027</c:v>
                </c:pt>
                <c:pt idx="98">
                  <c:v>94.659058165140763</c:v>
                </c:pt>
                <c:pt idx="99">
                  <c:v>94.713201526679725</c:v>
                </c:pt>
                <c:pt idx="100">
                  <c:v>94.76588962229205</c:v>
                </c:pt>
                <c:pt idx="101">
                  <c:v>94.816996735641396</c:v>
                </c:pt>
                <c:pt idx="102">
                  <c:v>94.866395058613065</c:v>
                </c:pt>
                <c:pt idx="103">
                  <c:v>94.913955044064849</c:v>
                </c:pt>
                <c:pt idx="104">
                  <c:v>94.959545787897966</c:v>
                </c:pt>
                <c:pt idx="105">
                  <c:v>95.003035439312967</c:v>
                </c:pt>
                <c:pt idx="106">
                  <c:v>95.044291637711709</c:v>
                </c:pt>
                <c:pt idx="107">
                  <c:v>95.083181974318805</c:v>
                </c:pt>
                <c:pt idx="108">
                  <c:v>95.119574476179125</c:v>
                </c:pt>
                <c:pt idx="109">
                  <c:v>95.153338109788208</c:v>
                </c:pt>
                <c:pt idx="110">
                  <c:v>95.184343301210191</c:v>
                </c:pt>
                <c:pt idx="111">
                  <c:v>95.212462469164407</c:v>
                </c:pt>
                <c:pt idx="112">
                  <c:v>95.237570567197579</c:v>
                </c:pt>
                <c:pt idx="113">
                  <c:v>95.259545630742068</c:v>
                </c:pt>
                <c:pt idx="114">
                  <c:v>95.278269324574467</c:v>
                </c:pt>
                <c:pt idx="115">
                  <c:v>95.293627485955255</c:v>
                </c:pt>
                <c:pt idx="116">
                  <c:v>95.305510658555818</c:v>
                </c:pt>
                <c:pt idx="117">
                  <c:v>95.313814612157998</c:v>
                </c:pt>
                <c:pt idx="118">
                  <c:v>95.318440843069894</c:v>
                </c:pt>
                <c:pt idx="119">
                  <c:v>95.319297050227306</c:v>
                </c:pt>
                <c:pt idx="120">
                  <c:v>95.316297582042907</c:v>
                </c:pt>
                <c:pt idx="121">
                  <c:v>95.30936384925981</c:v>
                </c:pt>
                <c:pt idx="122">
                  <c:v>95.29842469930216</c:v>
                </c:pt>
                <c:pt idx="123">
                  <c:v>95.283416747961709</c:v>
                </c:pt>
                <c:pt idx="124">
                  <c:v>95.264284664648585</c:v>
                </c:pt>
                <c:pt idx="125">
                  <c:v>95.240981407912727</c:v>
                </c:pt>
                <c:pt idx="126">
                  <c:v>95.21346840844987</c:v>
                </c:pt>
                <c:pt idx="127">
                  <c:v>95.181715697406446</c:v>
                </c:pt>
                <c:pt idx="128">
                  <c:v>95.145701978383926</c:v>
                </c:pt>
                <c:pt idx="129">
                  <c:v>95.105414642216857</c:v>
                </c:pt>
                <c:pt idx="130">
                  <c:v>95.060849724229456</c:v>
                </c:pt>
                <c:pt idx="131">
                  <c:v>95.012011804372534</c:v>
                </c:pt>
                <c:pt idx="132">
                  <c:v>94.958913851277629</c:v>
                </c:pt>
                <c:pt idx="133">
                  <c:v>94.901577011920921</c:v>
                </c:pt>
                <c:pt idx="134">
                  <c:v>94.840030349187572</c:v>
                </c:pt>
                <c:pt idx="135">
                  <c:v>94.774310530204403</c:v>
                </c:pt>
                <c:pt idx="136">
                  <c:v>94.704461468815566</c:v>
                </c:pt>
                <c:pt idx="137">
                  <c:v>94.630533926037543</c:v>
                </c:pt>
                <c:pt idx="138">
                  <c:v>94.552585072717108</c:v>
                </c:pt>
                <c:pt idx="139">
                  <c:v>94.470678018935644</c:v>
                </c:pt>
                <c:pt idx="140">
                  <c:v>94.384881314936607</c:v>
                </c:pt>
                <c:pt idx="141">
                  <c:v>94.295268428532296</c:v>
                </c:pt>
                <c:pt idx="142">
                  <c:v>94.201917204024355</c:v>
                </c:pt>
                <c:pt idx="143">
                  <c:v>94.10490930768367</c:v>
                </c:pt>
                <c:pt idx="144">
                  <c:v>94.004329664786312</c:v>
                </c:pt>
                <c:pt idx="145">
                  <c:v>93.900265893068834</c:v>
                </c:pt>
                <c:pt idx="146">
                  <c:v>93.792807737277641</c:v>
                </c:pt>
                <c:pt idx="147">
                  <c:v>93.682046509251862</c:v>
                </c:pt>
                <c:pt idx="148">
                  <c:v>93.568074537681539</c:v>
                </c:pt>
                <c:pt idx="149">
                  <c:v>93.450984631359148</c:v>
                </c:pt>
                <c:pt idx="150">
                  <c:v>93.330869559375472</c:v>
                </c:pt>
                <c:pt idx="151">
                  <c:v>93.207821551339705</c:v>
                </c:pt>
                <c:pt idx="152">
                  <c:v>93.08193182028819</c:v>
                </c:pt>
                <c:pt idx="153">
                  <c:v>92.95329011055523</c:v>
                </c:pt>
                <c:pt idx="154">
                  <c:v>92.821984272465059</c:v>
                </c:pt>
                <c:pt idx="155">
                  <c:v>92.688099865305347</c:v>
                </c:pt>
                <c:pt idx="156">
                  <c:v>92.551719789657795</c:v>
                </c:pt>
                <c:pt idx="157">
                  <c:v>92.412923949791249</c:v>
                </c:pt>
                <c:pt idx="158">
                  <c:v>92.271788946469542</c:v>
                </c:pt>
                <c:pt idx="159">
                  <c:v>92.128387800210831</c:v>
                </c:pt>
                <c:pt idx="160">
                  <c:v>91.982789704730592</c:v>
                </c:pt>
                <c:pt idx="161">
                  <c:v>91.835059810045067</c:v>
                </c:pt>
                <c:pt idx="162">
                  <c:v>91.685259034463598</c:v>
                </c:pt>
                <c:pt idx="163">
                  <c:v>91.533443904506001</c:v>
                </c:pt>
                <c:pt idx="164">
                  <c:v>91.379666421599993</c:v>
                </c:pt>
                <c:pt idx="165">
                  <c:v>91.22397395427295</c:v>
                </c:pt>
                <c:pt idx="166">
                  <c:v>91.066409154437125</c:v>
                </c:pt>
                <c:pt idx="167">
                  <c:v>90.907009896282204</c:v>
                </c:pt>
                <c:pt idx="168">
                  <c:v>90.745809236226165</c:v>
                </c:pt>
                <c:pt idx="169">
                  <c:v>90.582835392339575</c:v>
                </c:pt>
                <c:pt idx="170">
                  <c:v>90.418111741640061</c:v>
                </c:pt>
                <c:pt idx="171">
                  <c:v>90.251656833664001</c:v>
                </c:pt>
                <c:pt idx="172">
                  <c:v>90.083484418733065</c:v>
                </c:pt>
                <c:pt idx="173">
                  <c:v>89.913603489377238</c:v>
                </c:pt>
                <c:pt idx="174">
                  <c:v>89.742018333421228</c:v>
                </c:pt>
                <c:pt idx="175">
                  <c:v>89.568728597299014</c:v>
                </c:pt>
                <c:pt idx="176">
                  <c:v>89.3937293582282</c:v>
                </c:pt>
                <c:pt idx="177">
                  <c:v>89.217011203954328</c:v>
                </c:pt>
                <c:pt idx="178">
                  <c:v>89.038560318845427</c:v>
                </c:pt>
                <c:pt idx="179">
                  <c:v>88.858358575211909</c:v>
                </c:pt>
                <c:pt idx="180">
                  <c:v>88.676383628797325</c:v>
                </c:pt>
                <c:pt idx="181">
                  <c:v>88.492609017485634</c:v>
                </c:pt>
                <c:pt idx="182">
                  <c:v>88.307004262342005</c:v>
                </c:pt>
                <c:pt idx="183">
                  <c:v>88.119534970202039</c:v>
                </c:pt>
                <c:pt idx="184">
                  <c:v>87.93016293709465</c:v>
                </c:pt>
                <c:pt idx="185">
                  <c:v>87.738846251874094</c:v>
                </c:pt>
                <c:pt idx="186">
                  <c:v>87.545539399507206</c:v>
                </c:pt>
                <c:pt idx="187">
                  <c:v>87.350193363540853</c:v>
                </c:pt>
                <c:pt idx="188">
                  <c:v>87.152755727340036</c:v>
                </c:pt>
                <c:pt idx="189">
                  <c:v>86.953170773761286</c:v>
                </c:pt>
                <c:pt idx="190">
                  <c:v>86.751379582979581</c:v>
                </c:pt>
                <c:pt idx="191">
                  <c:v>86.547320128256459</c:v>
                </c:pt>
                <c:pt idx="192">
                  <c:v>86.340927369483992</c:v>
                </c:pt>
                <c:pt idx="193">
                  <c:v>86.132133344395925</c:v>
                </c:pt>
                <c:pt idx="194">
                  <c:v>85.920867257382497</c:v>
                </c:pt>
                <c:pt idx="195">
                  <c:v>85.707055565892333</c:v>
                </c:pt>
                <c:pt idx="196">
                  <c:v>85.490622064442618</c:v>
                </c:pt>
                <c:pt idx="197">
                  <c:v>85.271487966300981</c:v>
                </c:pt>
                <c:pt idx="198">
                  <c:v>85.049571982932079</c:v>
                </c:pt>
                <c:pt idx="199">
                  <c:v>84.824790401339627</c:v>
                </c:pt>
                <c:pt idx="200">
                  <c:v>84.597057159458785</c:v>
                </c:pt>
                <c:pt idx="201">
                  <c:v>84.366283919786753</c:v>
                </c:pt>
                <c:pt idx="202">
                  <c:v>84.132380141457432</c:v>
                </c:pt>
                <c:pt idx="203">
                  <c:v>83.895253150997164</c:v>
                </c:pt>
                <c:pt idx="204">
                  <c:v>83.654808212012071</c:v>
                </c:pt>
                <c:pt idx="205">
                  <c:v>83.410948594082882</c:v>
                </c:pt>
                <c:pt idx="206">
                  <c:v>83.163575641159781</c:v>
                </c:pt>
                <c:pt idx="207">
                  <c:v>82.912588839763728</c:v>
                </c:pt>
                <c:pt idx="208">
                  <c:v>82.657885887321328</c:v>
                </c:pt>
                <c:pt idx="209">
                  <c:v>82.39936276097346</c:v>
                </c:pt>
                <c:pt idx="210">
                  <c:v>82.136913787207362</c:v>
                </c:pt>
                <c:pt idx="211">
                  <c:v>81.870431712684294</c:v>
                </c:pt>
                <c:pt idx="212">
                  <c:v>81.59980777663479</c:v>
                </c:pt>
                <c:pt idx="213">
                  <c:v>81.324931785218126</c:v>
                </c:pt>
                <c:pt idx="214">
                  <c:v>81.045692188241802</c:v>
                </c:pt>
                <c:pt idx="215">
                  <c:v>80.761976158654591</c:v>
                </c:pt>
                <c:pt idx="216">
                  <c:v>80.473669675230852</c:v>
                </c:pt>
                <c:pt idx="217">
                  <c:v>80.180657608878917</c:v>
                </c:pt>
                <c:pt idx="218">
                  <c:v>79.882823813003839</c:v>
                </c:pt>
                <c:pt idx="219">
                  <c:v>79.580051218372887</c:v>
                </c:pt>
                <c:pt idx="220">
                  <c:v>79.272221932929156</c:v>
                </c:pt>
                <c:pt idx="221">
                  <c:v>78.959217347007908</c:v>
                </c:pt>
                <c:pt idx="222">
                  <c:v>78.640918244412674</c:v>
                </c:pt>
                <c:pt idx="223">
                  <c:v>78.317204919806201</c:v>
                </c:pt>
                <c:pt idx="224">
                  <c:v>77.987957302881497</c:v>
                </c:pt>
                <c:pt idx="225">
                  <c:v>77.653055089761125</c:v>
                </c:pt>
                <c:pt idx="226">
                  <c:v>77.312377882083567</c:v>
                </c:pt>
                <c:pt idx="227">
                  <c:v>76.965805334220562</c:v>
                </c:pt>
                <c:pt idx="228">
                  <c:v>76.613217309062492</c:v>
                </c:pt>
                <c:pt idx="229">
                  <c:v>76.254494042796011</c:v>
                </c:pt>
                <c:pt idx="230">
                  <c:v>75.889516319084223</c:v>
                </c:pt>
                <c:pt idx="231">
                  <c:v>75.518165653035624</c:v>
                </c:pt>
                <c:pt idx="232">
                  <c:v>75.140324485333139</c:v>
                </c:pt>
                <c:pt idx="233">
                  <c:v>74.755876386852421</c:v>
                </c:pt>
                <c:pt idx="234">
                  <c:v>74.364706274081229</c:v>
                </c:pt>
                <c:pt idx="235">
                  <c:v>73.966700635598215</c:v>
                </c:pt>
                <c:pt idx="236">
                  <c:v>73.561747769835762</c:v>
                </c:pt>
                <c:pt idx="237">
                  <c:v>73.149738034293776</c:v>
                </c:pt>
                <c:pt idx="238">
                  <c:v>72.730564106314887</c:v>
                </c:pt>
                <c:pt idx="239">
                  <c:v>72.304121255470577</c:v>
                </c:pt>
                <c:pt idx="240">
                  <c:v>71.870307627527666</c:v>
                </c:pt>
                <c:pt idx="241">
                  <c:v>71.429024539892524</c:v>
                </c:pt>
                <c:pt idx="242">
                  <c:v>70.98017678833574</c:v>
                </c:pt>
                <c:pt idx="243">
                  <c:v>70.523672964707245</c:v>
                </c:pt>
                <c:pt idx="244">
                  <c:v>70.059425785242667</c:v>
                </c:pt>
                <c:pt idx="245">
                  <c:v>69.587352428954404</c:v>
                </c:pt>
                <c:pt idx="246">
                  <c:v>69.107374885470747</c:v>
                </c:pt>
                <c:pt idx="247">
                  <c:v>68.619420311563829</c:v>
                </c:pt>
                <c:pt idx="248">
                  <c:v>68.123421395461818</c:v>
                </c:pt>
                <c:pt idx="249">
                  <c:v>67.619316727902856</c:v>
                </c:pt>
                <c:pt idx="250">
                  <c:v>67.107051178727986</c:v>
                </c:pt>
                <c:pt idx="251">
                  <c:v>66.586576277659617</c:v>
                </c:pt>
                <c:pt idx="252">
                  <c:v>66.057850597744618</c:v>
                </c:pt>
                <c:pt idx="253">
                  <c:v>65.520840139774648</c:v>
                </c:pt>
                <c:pt idx="254">
                  <c:v>64.97551871583623</c:v>
                </c:pt>
                <c:pt idx="255">
                  <c:v>64.4218683299611</c:v>
                </c:pt>
                <c:pt idx="256">
                  <c:v>63.85987955370021</c:v>
                </c:pt>
                <c:pt idx="257">
                  <c:v>63.289551894262779</c:v>
                </c:pt>
                <c:pt idx="258">
                  <c:v>62.710894152726624</c:v>
                </c:pt>
                <c:pt idx="259">
                  <c:v>62.123924769667362</c:v>
                </c:pt>
                <c:pt idx="260">
                  <c:v>61.52867215542917</c:v>
                </c:pt>
                <c:pt idx="261">
                  <c:v>60.925175002141565</c:v>
                </c:pt>
                <c:pt idx="262">
                  <c:v>60.313482574488624</c:v>
                </c:pt>
                <c:pt idx="263">
                  <c:v>59.693654976162065</c:v>
                </c:pt>
                <c:pt idx="264">
                  <c:v>59.06576338888177</c:v>
                </c:pt>
                <c:pt idx="265">
                  <c:v>58.429890280844965</c:v>
                </c:pt>
                <c:pt idx="266">
                  <c:v>57.786129581478022</c:v>
                </c:pt>
                <c:pt idx="267">
                  <c:v>57.134586819409591</c:v>
                </c:pt>
                <c:pt idx="268">
                  <c:v>56.475379220671819</c:v>
                </c:pt>
                <c:pt idx="269">
                  <c:v>55.808635764257161</c:v>
                </c:pt>
                <c:pt idx="270">
                  <c:v>55.13449719232392</c:v>
                </c:pt>
                <c:pt idx="271">
                  <c:v>54.453115972558699</c:v>
                </c:pt>
                <c:pt idx="272">
                  <c:v>53.764656210449544</c:v>
                </c:pt>
                <c:pt idx="273">
                  <c:v>53.069293509522481</c:v>
                </c:pt>
                <c:pt idx="274">
                  <c:v>52.367214777936738</c:v>
                </c:pt>
                <c:pt idx="275">
                  <c:v>51.658617980205477</c:v>
                </c:pt>
                <c:pt idx="276">
                  <c:v>50.943711833236634</c:v>
                </c:pt>
                <c:pt idx="277">
                  <c:v>50.22271544632725</c:v>
                </c:pt>
                <c:pt idx="278">
                  <c:v>49.495857905239347</c:v>
                </c:pt>
                <c:pt idx="279">
                  <c:v>48.763377800984834</c:v>
                </c:pt>
                <c:pt idx="280">
                  <c:v>48.025522704469019</c:v>
                </c:pt>
                <c:pt idx="281">
                  <c:v>47.282548588684975</c:v>
                </c:pt>
                <c:pt idx="282">
                  <c:v>46.534719200687015</c:v>
                </c:pt>
                <c:pt idx="283">
                  <c:v>45.78230538609975</c:v>
                </c:pt>
                <c:pt idx="284">
                  <c:v>45.025584369461185</c:v>
                </c:pt>
                <c:pt idx="285">
                  <c:v>44.264838994177865</c:v>
                </c:pt>
                <c:pt idx="286">
                  <c:v>43.500356926357817</c:v>
                </c:pt>
                <c:pt idx="287">
                  <c:v>42.732429827219612</c:v>
                </c:pt>
                <c:pt idx="288">
                  <c:v>41.96135249915833</c:v>
                </c:pt>
                <c:pt idx="289">
                  <c:v>41.187422010906587</c:v>
                </c:pt>
                <c:pt idx="290">
                  <c:v>40.410936807481391</c:v>
                </c:pt>
                <c:pt idx="291">
                  <c:v>39.632195810853766</c:v>
                </c:pt>
                <c:pt idx="292">
                  <c:v>38.851497517411381</c:v>
                </c:pt>
                <c:pt idx="293">
                  <c:v>38.069139098363877</c:v>
                </c:pt>
                <c:pt idx="294">
                  <c:v>37.285415509261753</c:v>
                </c:pt>
                <c:pt idx="295">
                  <c:v>36.500618614726179</c:v>
                </c:pt>
                <c:pt idx="296">
                  <c:v>35.715036334360981</c:v>
                </c:pt>
                <c:pt idx="297">
                  <c:v>34.92895181561564</c:v>
                </c:pt>
                <c:pt idx="298">
                  <c:v>34.14264263910831</c:v>
                </c:pt>
                <c:pt idx="299">
                  <c:v>33.356380061596283</c:v>
                </c:pt>
                <c:pt idx="300">
                  <c:v>32.570428301404633</c:v>
                </c:pt>
                <c:pt idx="301">
                  <c:v>31.785043870713587</c:v>
                </c:pt>
                <c:pt idx="302">
                  <c:v>31.000474958640869</c:v>
                </c:pt>
                <c:pt idx="303">
                  <c:v>30.216960868573015</c:v>
                </c:pt>
                <c:pt idx="304">
                  <c:v>29.434731512695375</c:v>
                </c:pt>
                <c:pt idx="305">
                  <c:v>28.654006966144483</c:v>
                </c:pt>
                <c:pt idx="306">
                  <c:v>27.87499708268728</c:v>
                </c:pt>
                <c:pt idx="307">
                  <c:v>27.097901173301789</c:v>
                </c:pt>
                <c:pt idx="308">
                  <c:v>26.322907748531708</c:v>
                </c:pt>
                <c:pt idx="309">
                  <c:v>25.550194324980374</c:v>
                </c:pt>
                <c:pt idx="310">
                  <c:v>24.779927295847969</c:v>
                </c:pt>
                <c:pt idx="311">
                  <c:v>24.012261864965357</c:v>
                </c:pt>
                <c:pt idx="312">
                  <c:v>23.24734204336357</c:v>
                </c:pt>
                <c:pt idx="313">
                  <c:v>22.485300707050264</c:v>
                </c:pt>
                <c:pt idx="314">
                  <c:v>21.726259714319429</c:v>
                </c:pt>
                <c:pt idx="315">
                  <c:v>20.970330080621967</c:v>
                </c:pt>
                <c:pt idx="316">
                  <c:v>20.217612208769044</c:v>
                </c:pt>
                <c:pt idx="317">
                  <c:v>19.468196172021653</c:v>
                </c:pt>
                <c:pt idx="318">
                  <c:v>18.722162047437212</c:v>
                </c:pt>
                <c:pt idx="319">
                  <c:v>17.979580296705571</c:v>
                </c:pt>
                <c:pt idx="320">
                  <c:v>17.240512191596132</c:v>
                </c:pt>
                <c:pt idx="321">
                  <c:v>16.505010281068877</c:v>
                </c:pt>
                <c:pt idx="322">
                  <c:v>15.773118897050034</c:v>
                </c:pt>
                <c:pt idx="323">
                  <c:v>15.044874695859917</c:v>
                </c:pt>
                <c:pt idx="324">
                  <c:v>14.320307232280193</c:v>
                </c:pt>
                <c:pt idx="325">
                  <c:v>13.59943956327265</c:v>
                </c:pt>
                <c:pt idx="326">
                  <c:v>12.882288878395661</c:v>
                </c:pt>
                <c:pt idx="327">
                  <c:v>12.168867154012817</c:v>
                </c:pt>
                <c:pt idx="328">
                  <c:v>11.459181828446619</c:v>
                </c:pt>
                <c:pt idx="329">
                  <c:v>10.753236495284112</c:v>
                </c:pt>
                <c:pt idx="330">
                  <c:v>10.051031612110803</c:v>
                </c:pt>
                <c:pt idx="331">
                  <c:v>9.3525652219958495</c:v>
                </c:pt>
                <c:pt idx="332">
                  <c:v>8.6578336851162021</c:v>
                </c:pt>
                <c:pt idx="333">
                  <c:v>7.9668324179460193</c:v>
                </c:pt>
                <c:pt idx="334">
                  <c:v>7.2795566374810194</c:v>
                </c:pt>
                <c:pt idx="335">
                  <c:v>6.5960021079886513</c:v>
                </c:pt>
                <c:pt idx="336">
                  <c:v>5.9161658877969305</c:v>
                </c:pt>
                <c:pt idx="337">
                  <c:v>5.2400470736294666</c:v>
                </c:pt>
                <c:pt idx="338">
                  <c:v>4.5676475399906424</c:v>
                </c:pt>
                <c:pt idx="339">
                  <c:v>3.8989726710769643</c:v>
                </c:pt>
                <c:pt idx="340">
                  <c:v>3.2340320826572526</c:v>
                </c:pt>
                <c:pt idx="341">
                  <c:v>2.5728403313129289</c:v>
                </c:pt>
                <c:pt idx="342">
                  <c:v>1.915417608379594</c:v>
                </c:pt>
                <c:pt idx="343">
                  <c:v>1.2617904158534039</c:v>
                </c:pt>
                <c:pt idx="344">
                  <c:v>0.61199222146224874</c:v>
                </c:pt>
                <c:pt idx="345">
                  <c:v>-3.3935909981353984E-2</c:v>
                </c:pt>
                <c:pt idx="346">
                  <c:v>-0.67594471190691996</c:v>
                </c:pt>
                <c:pt idx="347">
                  <c:v>-1.3139761410253319</c:v>
                </c:pt>
                <c:pt idx="348">
                  <c:v>-1.9479628352002867</c:v>
                </c:pt>
                <c:pt idx="349">
                  <c:v>-2.5778276073159425</c:v>
                </c:pt>
                <c:pt idx="350">
                  <c:v>-3.2034829783760417</c:v>
                </c:pt>
                <c:pt idx="351">
                  <c:v>-3.8248307530898509</c:v>
                </c:pt>
                <c:pt idx="352">
                  <c:v>-4.4417616412279557</c:v>
                </c:pt>
                <c:pt idx="353">
                  <c:v>-5.0541549280151168</c:v>
                </c:pt>
                <c:pt idx="354">
                  <c:v>-5.6618781967986926</c:v>
                </c:pt>
                <c:pt idx="355">
                  <c:v>-6.2647871071564367</c:v>
                </c:pt>
                <c:pt idx="356">
                  <c:v>-6.8627252315181799</c:v>
                </c:pt>
                <c:pt idx="357">
                  <c:v>-7.4555239532262227</c:v>
                </c:pt>
                <c:pt idx="358">
                  <c:v>-8.043002428790432</c:v>
                </c:pt>
                <c:pt idx="359">
                  <c:v>-8.6249676168740059</c:v>
                </c:pt>
                <c:pt idx="360">
                  <c:v>-9.2012143762782621</c:v>
                </c:pt>
                <c:pt idx="361">
                  <c:v>-9.7715256349021509</c:v>
                </c:pt>
                <c:pt idx="362">
                  <c:v>-10.335672631292816</c:v>
                </c:pt>
                <c:pt idx="363">
                  <c:v>-10.89341523002768</c:v>
                </c:pt>
                <c:pt idx="364">
                  <c:v>-11.444502311730732</c:v>
                </c:pt>
                <c:pt idx="365">
                  <c:v>-11.988672238071553</c:v>
                </c:pt>
                <c:pt idx="366">
                  <c:v>-12.525653391594481</c:v>
                </c:pt>
                <c:pt idx="367">
                  <c:v>-13.055164789704692</c:v>
                </c:pt>
                <c:pt idx="368">
                  <c:v>-13.576916771598929</c:v>
                </c:pt>
                <c:pt idx="369">
                  <c:v>-14.090611756358497</c:v>
                </c:pt>
                <c:pt idx="370">
                  <c:v>-14.595945069867385</c:v>
                </c:pt>
                <c:pt idx="371">
                  <c:v>-15.092605837640402</c:v>
                </c:pt>
                <c:pt idx="372">
                  <c:v>-15.580277940094239</c:v>
                </c:pt>
                <c:pt idx="373">
                  <c:v>-16.058641026238799</c:v>
                </c:pt>
                <c:pt idx="374">
                  <c:v>-16.527371581250037</c:v>
                </c:pt>
                <c:pt idx="375">
                  <c:v>-16.986144042891553</c:v>
                </c:pt>
                <c:pt idx="376">
                  <c:v>-17.434631961295906</c:v>
                </c:pt>
                <c:pt idx="377">
                  <c:v>-17.872509196203648</c:v>
                </c:pt>
                <c:pt idx="378">
                  <c:v>-18.299451145406433</c:v>
                </c:pt>
                <c:pt idx="379">
                  <c:v>-18.715135997824525</c:v>
                </c:pt>
                <c:pt idx="380">
                  <c:v>-19.119246004408804</c:v>
                </c:pt>
                <c:pt idx="381">
                  <c:v>-19.511468759874369</c:v>
                </c:pt>
                <c:pt idx="382">
                  <c:v>-19.89149848814511</c:v>
                </c:pt>
                <c:pt idx="383">
                  <c:v>-20.259037324339857</c:v>
                </c:pt>
                <c:pt idx="384">
                  <c:v>-20.613796586128792</c:v>
                </c:pt>
                <c:pt idx="385">
                  <c:v>-20.955498027360431</c:v>
                </c:pt>
                <c:pt idx="386">
                  <c:v>-21.283875066981416</c:v>
                </c:pt>
                <c:pt idx="387">
                  <c:v>-21.598673986451555</c:v>
                </c:pt>
                <c:pt idx="388">
                  <c:v>-21.899655089087005</c:v>
                </c:pt>
                <c:pt idx="389">
                  <c:v>-22.186593815032225</c:v>
                </c:pt>
                <c:pt idx="390">
                  <c:v>-22.459281805877691</c:v>
                </c:pt>
                <c:pt idx="391">
                  <c:v>-22.717527913287476</c:v>
                </c:pt>
                <c:pt idx="392">
                  <c:v>-22.961159146363183</c:v>
                </c:pt>
                <c:pt idx="393">
                  <c:v>-23.19002155287626</c:v>
                </c:pt>
                <c:pt idx="394">
                  <c:v>-23.403981029904426</c:v>
                </c:pt>
                <c:pt idx="395">
                  <c:v>-23.602924059830006</c:v>
                </c:pt>
                <c:pt idx="396">
                  <c:v>-23.786758368091803</c:v>
                </c:pt>
                <c:pt idx="397">
                  <c:v>-23.95541349950663</c:v>
                </c:pt>
                <c:pt idx="398">
                  <c:v>-24.108841310422285</c:v>
                </c:pt>
                <c:pt idx="399">
                  <c:v>-24.247016374388799</c:v>
                </c:pt>
                <c:pt idx="400">
                  <c:v>-24.369936299467703</c:v>
                </c:pt>
                <c:pt idx="401">
                  <c:v>-24.477621955729219</c:v>
                </c:pt>
                <c:pt idx="402">
                  <c:v>-24.570117611912288</c:v>
                </c:pt>
                <c:pt idx="403">
                  <c:v>-24.647490980645529</c:v>
                </c:pt>
                <c:pt idx="404">
                  <c:v>-24.709833172045908</c:v>
                </c:pt>
                <c:pt idx="405">
                  <c:v>-24.757258555939455</c:v>
                </c:pt>
                <c:pt idx="406">
                  <c:v>-24.789904533361462</c:v>
                </c:pt>
                <c:pt idx="407">
                  <c:v>-24.807931218424955</c:v>
                </c:pt>
                <c:pt idx="408">
                  <c:v>-24.811521032064583</c:v>
                </c:pt>
                <c:pt idx="409">
                  <c:v>-24.800878209595751</c:v>
                </c:pt>
                <c:pt idx="410">
                  <c:v>-24.776228224454965</c:v>
                </c:pt>
                <c:pt idx="411">
                  <c:v>-24.737817130921137</c:v>
                </c:pt>
                <c:pt idx="412">
                  <c:v>-24.685910829049728</c:v>
                </c:pt>
                <c:pt idx="413">
                  <c:v>-24.620794255473239</c:v>
                </c:pt>
                <c:pt idx="414">
                  <c:v>-24.542770504158881</c:v>
                </c:pt>
                <c:pt idx="415">
                  <c:v>-24.452159881610694</c:v>
                </c:pt>
                <c:pt idx="416">
                  <c:v>-24.349298901419061</c:v>
                </c:pt>
                <c:pt idx="417">
                  <c:v>-24.234539223433377</c:v>
                </c:pt>
                <c:pt idx="418">
                  <c:v>-24.108246543193616</c:v>
                </c:pt>
                <c:pt idx="419">
                  <c:v>-23.970799437587033</c:v>
                </c:pt>
                <c:pt idx="420">
                  <c:v>-23.822588172982268</c:v>
                </c:pt>
                <c:pt idx="421">
                  <c:v>-23.664013482353582</c:v>
                </c:pt>
                <c:pt idx="422">
                  <c:v>-23.495485318102176</c:v>
                </c:pt>
                <c:pt idx="423">
                  <c:v>-23.317421587441906</c:v>
                </c:pt>
                <c:pt idx="424">
                  <c:v>-23.130246877310444</c:v>
                </c:pt>
                <c:pt idx="425">
                  <c:v>-22.934391175800553</c:v>
                </c:pt>
                <c:pt idx="426">
                  <c:v>-22.730288597090048</c:v>
                </c:pt>
                <c:pt idx="427">
                  <c:v>-22.518376116746623</c:v>
                </c:pt>
                <c:pt idx="428">
                  <c:v>-22.299092324144631</c:v>
                </c:pt>
                <c:pt idx="429">
                  <c:v>-22.072876198502144</c:v>
                </c:pt>
                <c:pt idx="430">
                  <c:v>-21.840165914780204</c:v>
                </c:pt>
                <c:pt idx="431">
                  <c:v>-21.601397685339453</c:v>
                </c:pt>
                <c:pt idx="432">
                  <c:v>-21.357004642867928</c:v>
                </c:pt>
                <c:pt idx="433">
                  <c:v>-21.107415769653318</c:v>
                </c:pt>
                <c:pt idx="434">
                  <c:v>-20.853054877792157</c:v>
                </c:pt>
                <c:pt idx="435">
                  <c:v>-20.594339644413125</c:v>
                </c:pt>
                <c:pt idx="436">
                  <c:v>-20.331680705451095</c:v>
                </c:pt>
                <c:pt idx="437">
                  <c:v>-20.065480810942411</c:v>
                </c:pt>
                <c:pt idx="438">
                  <c:v>-19.796134044237313</c:v>
                </c:pt>
                <c:pt idx="439">
                  <c:v>-19.524025106950901</c:v>
                </c:pt>
                <c:pt idx="440">
                  <c:v>-19.249528670891774</c:v>
                </c:pt>
                <c:pt idx="441">
                  <c:v>-18.973008797651115</c:v>
                </c:pt>
                <c:pt idx="442">
                  <c:v>-18.694818425983961</c:v>
                </c:pt>
                <c:pt idx="443">
                  <c:v>-18.415298926600286</c:v>
                </c:pt>
                <c:pt idx="444">
                  <c:v>-18.134779723485725</c:v>
                </c:pt>
                <c:pt idx="445">
                  <c:v>-17.853577980422902</c:v>
                </c:pt>
                <c:pt idx="446">
                  <c:v>-17.57199835096543</c:v>
                </c:pt>
                <c:pt idx="447">
                  <c:v>-17.290332789741655</c:v>
                </c:pt>
                <c:pt idx="448">
                  <c:v>-17.008860422636083</c:v>
                </c:pt>
                <c:pt idx="449">
                  <c:v>-16.727847473113009</c:v>
                </c:pt>
                <c:pt idx="450">
                  <c:v>-16.447547241701585</c:v>
                </c:pt>
                <c:pt idx="451">
                  <c:v>-16.16820013547963</c:v>
                </c:pt>
                <c:pt idx="452">
                  <c:v>-15.890033744227354</c:v>
                </c:pt>
                <c:pt idx="453">
                  <c:v>-15.61326295983552</c:v>
                </c:pt>
                <c:pt idx="454">
                  <c:v>-15.338090135469045</c:v>
                </c:pt>
                <c:pt idx="455">
                  <c:v>-15.064705280970047</c:v>
                </c:pt>
                <c:pt idx="456">
                  <c:v>-14.793286290989307</c:v>
                </c:pt>
                <c:pt idx="457">
                  <c:v>-14.523999202370964</c:v>
                </c:pt>
                <c:pt idx="458">
                  <c:v>-14.256998477388679</c:v>
                </c:pt>
                <c:pt idx="459">
                  <c:v>-13.992427309520133</c:v>
                </c:pt>
                <c:pt idx="460">
                  <c:v>-13.730417948563124</c:v>
                </c:pt>
                <c:pt idx="461">
                  <c:v>-13.471092042028593</c:v>
                </c:pt>
                <c:pt idx="462">
                  <c:v>-13.214560989896473</c:v>
                </c:pt>
                <c:pt idx="463">
                  <c:v>-12.960926309975024</c:v>
                </c:pt>
                <c:pt idx="464">
                  <c:v>-12.710280011276819</c:v>
                </c:pt>
                <c:pt idx="465">
                  <c:v>-12.462704972997871</c:v>
                </c:pt>
                <c:pt idx="466">
                  <c:v>-12.21827532686256</c:v>
                </c:pt>
                <c:pt idx="467">
                  <c:v>-11.977056840779165</c:v>
                </c:pt>
                <c:pt idx="468">
                  <c:v>-11.739107301926982</c:v>
                </c:pt>
                <c:pt idx="469">
                  <c:v>-11.504476897571656</c:v>
                </c:pt>
                <c:pt idx="470">
                  <c:v>-11.273208592078957</c:v>
                </c:pt>
                <c:pt idx="471">
                  <c:v>-11.045338498760161</c:v>
                </c:pt>
                <c:pt idx="472">
                  <c:v>-10.820896245346056</c:v>
                </c:pt>
                <c:pt idx="473">
                  <c:v>-10.599905332035453</c:v>
                </c:pt>
                <c:pt idx="474">
                  <c:v>-10.382383481208521</c:v>
                </c:pt>
                <c:pt idx="475">
                  <c:v>-10.168342978035136</c:v>
                </c:pt>
                <c:pt idx="476">
                  <c:v>-9.9577910013300759</c:v>
                </c:pt>
                <c:pt idx="477">
                  <c:v>-9.7507299441290805</c:v>
                </c:pt>
                <c:pt idx="478">
                  <c:v>-9.5471577235672331</c:v>
                </c:pt>
                <c:pt idx="479">
                  <c:v>-9.3470680797421029</c:v>
                </c:pt>
                <c:pt idx="480">
                  <c:v>-9.1504508633347807</c:v>
                </c:pt>
                <c:pt idx="481">
                  <c:v>-8.9572923118465972</c:v>
                </c:pt>
                <c:pt idx="482">
                  <c:v>-8.7675753143810535</c:v>
                </c:pt>
                <c:pt idx="483">
                  <c:v>-8.5812796649720475</c:v>
                </c:pt>
                <c:pt idx="484">
                  <c:v>-8.3983823045134436</c:v>
                </c:pt>
                <c:pt idx="485">
                  <c:v>-8.2188575514035449</c:v>
                </c:pt>
                <c:pt idx="486">
                  <c:v>-8.0426773210569014</c:v>
                </c:pt>
                <c:pt idx="487">
                  <c:v>-7.8698113344818523</c:v>
                </c:pt>
                <c:pt idx="488">
                  <c:v>-7.7002273161528541</c:v>
                </c:pt>
                <c:pt idx="489">
                  <c:v>-7.5338911814339111</c:v>
                </c:pt>
                <c:pt idx="490">
                  <c:v>-7.3707672138377474</c:v>
                </c:pt>
                <c:pt idx="491">
                  <c:v>-7.2108182324180854</c:v>
                </c:pt>
                <c:pt idx="492">
                  <c:v>-7.0540057496155839</c:v>
                </c:pt>
                <c:pt idx="493">
                  <c:v>-6.9002901198807836</c:v>
                </c:pt>
                <c:pt idx="494">
                  <c:v>-6.7496306794136576</c:v>
                </c:pt>
                <c:pt idx="495">
                  <c:v>-6.6019858773590032</c:v>
                </c:pt>
                <c:pt idx="496">
                  <c:v>-6.4573133988032865</c:v>
                </c:pt>
                <c:pt idx="497">
                  <c:v>-6.3155702799167779</c:v>
                </c:pt>
                <c:pt idx="498">
                  <c:v>-6.1767130155851957</c:v>
                </c:pt>
                <c:pt idx="499">
                  <c:v>-6.0406976598700135</c:v>
                </c:pt>
                <c:pt idx="500">
                  <c:v>-5.9074799196333174</c:v>
                </c:pt>
                <c:pt idx="501">
                  <c:v>-5.7770152416567067</c:v>
                </c:pt>
                <c:pt idx="502">
                  <c:v>-5.6492588935754418</c:v>
                </c:pt>
                <c:pt idx="503">
                  <c:v>-5.524166038944311</c:v>
                </c:pt>
                <c:pt idx="504">
                  <c:v>-5.4016918067378628</c:v>
                </c:pt>
                <c:pt idx="505">
                  <c:v>-5.2817913555845015</c:v>
                </c:pt>
                <c:pt idx="506">
                  <c:v>-5.1644199330180305</c:v>
                </c:pt>
                <c:pt idx="507">
                  <c:v>-5.0495329300265279</c:v>
                </c:pt>
                <c:pt idx="508">
                  <c:v>-4.9370859311611586</c:v>
                </c:pt>
                <c:pt idx="509">
                  <c:v>-4.8270347604643158</c:v>
                </c:pt>
                <c:pt idx="510">
                  <c:v>-4.7193355234605194</c:v>
                </c:pt>
                <c:pt idx="511">
                  <c:v>-4.613944645445561</c:v>
                </c:pt>
                <c:pt idx="512">
                  <c:v>-4.5108189062986588</c:v>
                </c:pt>
                <c:pt idx="513">
                  <c:v>-4.4099154720322158</c:v>
                </c:pt>
                <c:pt idx="514">
                  <c:v>-4.3111919232832152</c:v>
                </c:pt>
                <c:pt idx="515">
                  <c:v>-4.2146062809408757</c:v>
                </c:pt>
                <c:pt idx="516">
                  <c:v>-4.1201170290959759</c:v>
                </c:pt>
                <c:pt idx="517">
                  <c:v>-4.0276831354860319</c:v>
                </c:pt>
                <c:pt idx="518">
                  <c:v>-3.9372640696045393</c:v>
                </c:pt>
                <c:pt idx="519">
                  <c:v>-3.848819818630469</c:v>
                </c:pt>
                <c:pt idx="520">
                  <c:v>-3.7623109013280014</c:v>
                </c:pt>
                <c:pt idx="521">
                  <c:v>-3.6776983800571914</c:v>
                </c:pt>
                <c:pt idx="522">
                  <c:v>-3.5949438710291433</c:v>
                </c:pt>
                <c:pt idx="523">
                  <c:v>-3.5140095529303461</c:v>
                </c:pt>
                <c:pt idx="524">
                  <c:v>-3.434858174036016</c:v>
                </c:pt>
                <c:pt idx="525">
                  <c:v>-3.3574530579228079</c:v>
                </c:pt>
                <c:pt idx="526">
                  <c:v>-3.2817581078861684</c:v>
                </c:pt>
                <c:pt idx="527">
                  <c:v>-3.2077378101615488</c:v>
                </c:pt>
                <c:pt idx="528">
                  <c:v>-3.1353572360414677</c:v>
                </c:pt>
                <c:pt idx="529">
                  <c:v>-3.0645820429753612</c:v>
                </c:pt>
                <c:pt idx="530">
                  <c:v>-2.9953784747349435</c:v>
                </c:pt>
                <c:pt idx="531">
                  <c:v>-2.9277133607205799</c:v>
                </c:pt>
                <c:pt idx="532">
                  <c:v>-2.8615541144802927</c:v>
                </c:pt>
                <c:pt idx="533">
                  <c:v>-2.7968687315091674</c:v>
                </c:pt>
                <c:pt idx="534">
                  <c:v>-2.7336257863915092</c:v>
                </c:pt>
                <c:pt idx="535">
                  <c:v>-2.6717944293442226</c:v>
                </c:pt>
                <c:pt idx="536">
                  <c:v>-2.6113443822166391</c:v>
                </c:pt>
                <c:pt idx="537">
                  <c:v>-2.5522459339972738</c:v>
                </c:pt>
                <c:pt idx="538">
                  <c:v>-2.4944699358756415</c:v>
                </c:pt>
                <c:pt idx="539">
                  <c:v>-2.437987795903402</c:v>
                </c:pt>
                <c:pt idx="540">
                  <c:v>-2.3827714732961436</c:v>
                </c:pt>
                <c:pt idx="541">
                  <c:v>-2.3287934724141905</c:v>
                </c:pt>
              </c:numCache>
            </c:numRef>
          </c:yVal>
          <c:smooth val="1"/>
          <c:extLst>
            <c:ext xmlns:c16="http://schemas.microsoft.com/office/drawing/2014/chart" uri="{C3380CC4-5D6E-409C-BE32-E72D297353CC}">
              <c16:uniqueId val="{00000001-AD11-40FF-AAF8-E4D177FF3352}"/>
            </c:ext>
          </c:extLst>
        </c:ser>
        <c:dLbls>
          <c:showLegendKey val="0"/>
          <c:showVal val="0"/>
          <c:showCatName val="0"/>
          <c:showSerName val="0"/>
          <c:showPercent val="0"/>
          <c:showBubbleSize val="0"/>
        </c:dLbls>
        <c:axId val="555497728"/>
        <c:axId val="555496192"/>
      </c:scatterChart>
      <c:valAx>
        <c:axId val="55534464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346560"/>
        <c:crosses val="autoZero"/>
        <c:crossBetween val="midCat"/>
      </c:valAx>
      <c:valAx>
        <c:axId val="555346560"/>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344640"/>
        <c:crosses val="autoZero"/>
        <c:crossBetween val="midCat"/>
        <c:majorUnit val="20"/>
        <c:minorUnit val="10"/>
      </c:valAx>
      <c:valAx>
        <c:axId val="555496192"/>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497728"/>
        <c:crosses val="max"/>
        <c:crossBetween val="midCat"/>
        <c:majorUnit val="90"/>
        <c:minorUnit val="45"/>
      </c:valAx>
      <c:valAx>
        <c:axId val="555497728"/>
        <c:scaling>
          <c:logBase val="10"/>
          <c:orientation val="minMax"/>
        </c:scaling>
        <c:delete val="1"/>
        <c:axPos val="b"/>
        <c:numFmt formatCode="0.00" sourceLinked="1"/>
        <c:majorTickMark val="out"/>
        <c:minorTickMark val="none"/>
        <c:tickLblPos val="nextTo"/>
        <c:crossAx val="555496192"/>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Total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Loop_Modeling!$BO$19:$BO$560</c:f>
              <c:numCache>
                <c:formatCode>General</c:formatCode>
                <c:ptCount val="542"/>
                <c:pt idx="0">
                  <c:v>46.054505354926249</c:v>
                </c:pt>
                <c:pt idx="1">
                  <c:v>45.854731463822702</c:v>
                </c:pt>
                <c:pt idx="2">
                  <c:v>45.654968158342342</c:v>
                </c:pt>
                <c:pt idx="3">
                  <c:v>45.455215930598243</c:v>
                </c:pt>
                <c:pt idx="4">
                  <c:v>45.255475295248189</c:v>
                </c:pt>
                <c:pt idx="5">
                  <c:v>45.055746790495121</c:v>
                </c:pt>
                <c:pt idx="6">
                  <c:v>44.85603097912928</c:v>
                </c:pt>
                <c:pt idx="7">
                  <c:v>44.656328449613099</c:v>
                </c:pt>
                <c:pt idx="8">
                  <c:v>44.456639817210053</c:v>
                </c:pt>
                <c:pt idx="9">
                  <c:v>44.256965725158892</c:v>
                </c:pt>
                <c:pt idx="10">
                  <c:v>44.057306845895525</c:v>
                </c:pt>
                <c:pt idx="11">
                  <c:v>43.857663882322726</c:v>
                </c:pt>
                <c:pt idx="12">
                  <c:v>43.658037569129924</c:v>
                </c:pt>
                <c:pt idx="13">
                  <c:v>43.45842867416426</c:v>
                </c:pt>
                <c:pt idx="14">
                  <c:v>43.258837999854464</c:v>
                </c:pt>
                <c:pt idx="15">
                  <c:v>43.05926638468884</c:v>
                </c:pt>
                <c:pt idx="16">
                  <c:v>42.859714704748242</c:v>
                </c:pt>
                <c:pt idx="17">
                  <c:v>42.660183875296262</c:v>
                </c:pt>
                <c:pt idx="18">
                  <c:v>42.46067485242763</c:v>
                </c:pt>
                <c:pt idx="19">
                  <c:v>42.261188634775024</c:v>
                </c:pt>
                <c:pt idx="20">
                  <c:v>42.061726265276775</c:v>
                </c:pt>
                <c:pt idx="21">
                  <c:v>41.862288833005607</c:v>
                </c:pt>
                <c:pt idx="22">
                  <c:v>41.662877475059766</c:v>
                </c:pt>
                <c:pt idx="23">
                  <c:v>41.463493378516667</c:v>
                </c:pt>
                <c:pt idx="24">
                  <c:v>41.264137782450668</c:v>
                </c:pt>
                <c:pt idx="25">
                  <c:v>41.064811980014312</c:v>
                </c:pt>
                <c:pt idx="26">
                  <c:v>40.865517320583862</c:v>
                </c:pt>
                <c:pt idx="27">
                  <c:v>40.666255211969322</c:v>
                </c:pt>
                <c:pt idx="28">
                  <c:v>40.467027122688108</c:v>
                </c:pt>
                <c:pt idx="29">
                  <c:v>40.267834584302229</c:v>
                </c:pt>
                <c:pt idx="30">
                  <c:v>40.068679193817758</c:v>
                </c:pt>
                <c:pt idx="31">
                  <c:v>39.869562616145934</c:v>
                </c:pt>
                <c:pt idx="32">
                  <c:v>39.670486586624058</c:v>
                </c:pt>
                <c:pt idx="33">
                  <c:v>39.471452913593225</c:v>
                </c:pt>
                <c:pt idx="34">
                  <c:v>39.27246348103202</c:v>
                </c:pt>
                <c:pt idx="35">
                  <c:v>39.073520251241007</c:v>
                </c:pt>
                <c:pt idx="36">
                  <c:v>38.874625267576633</c:v>
                </c:pt>
                <c:pt idx="37">
                  <c:v>38.675780657228003</c:v>
                </c:pt>
                <c:pt idx="38">
                  <c:v>38.476988634032494</c:v>
                </c:pt>
                <c:pt idx="39">
                  <c:v>38.278251501324661</c:v>
                </c:pt>
                <c:pt idx="40">
                  <c:v>38.079571654810138</c:v>
                </c:pt>
                <c:pt idx="41">
                  <c:v>37.880951585459478</c:v>
                </c:pt>
                <c:pt idx="42">
                  <c:v>37.682393882410082</c:v>
                </c:pt>
                <c:pt idx="43">
                  <c:v>37.483901235868757</c:v>
                </c:pt>
                <c:pt idx="44">
                  <c:v>37.285476440003336</c:v>
                </c:pt>
                <c:pt idx="45">
                  <c:v>37.087122395810319</c:v>
                </c:pt>
                <c:pt idx="46">
                  <c:v>36.888842113945756</c:v>
                </c:pt>
                <c:pt idx="47">
                  <c:v>36.690638717504321</c:v>
                </c:pt>
                <c:pt idx="48">
                  <c:v>36.492515444729158</c:v>
                </c:pt>
                <c:pt idx="49">
                  <c:v>36.294475651634649</c:v>
                </c:pt>
                <c:pt idx="50">
                  <c:v>36.096522814521762</c:v>
                </c:pt>
                <c:pt idx="51">
                  <c:v>35.898660532364886</c:v>
                </c:pt>
                <c:pt idx="52">
                  <c:v>35.700892529044189</c:v>
                </c:pt>
                <c:pt idx="53">
                  <c:v>35.503222655399298</c:v>
                </c:pt>
                <c:pt idx="54">
                  <c:v>35.305654891075363</c:v>
                </c:pt>
                <c:pt idx="55">
                  <c:v>35.108193346130363</c:v>
                </c:pt>
                <c:pt idx="56">
                  <c:v>34.910842262371482</c:v>
                </c:pt>
                <c:pt idx="57">
                  <c:v>34.713606014385022</c:v>
                </c:pt>
                <c:pt idx="58">
                  <c:v>34.516489110221386</c:v>
                </c:pt>
                <c:pt idx="59">
                  <c:v>34.319496191695222</c:v>
                </c:pt>
                <c:pt idx="60">
                  <c:v>34.122632034257776</c:v>
                </c:pt>
                <c:pt idx="61">
                  <c:v>33.925901546394009</c:v>
                </c:pt>
                <c:pt idx="62">
                  <c:v>33.729309768499562</c:v>
                </c:pt>
                <c:pt idx="63">
                  <c:v>33.532861871182341</c:v>
                </c:pt>
                <c:pt idx="64">
                  <c:v>33.336563152939085</c:v>
                </c:pt>
                <c:pt idx="65">
                  <c:v>33.140419037148455</c:v>
                </c:pt>
                <c:pt idx="66">
                  <c:v>32.944435068324132</c:v>
                </c:pt>
                <c:pt idx="67">
                  <c:v>32.74861690756704</c:v>
                </c:pt>
                <c:pt idx="68">
                  <c:v>32.552970327154881</c:v>
                </c:pt>
                <c:pt idx="69">
                  <c:v>32.357501204205739</c:v>
                </c:pt>
                <c:pt idx="70">
                  <c:v>32.162215513351661</c:v>
                </c:pt>
                <c:pt idx="71">
                  <c:v>31.967119318356421</c:v>
                </c:pt>
                <c:pt idx="72">
                  <c:v>31.772218762612315</c:v>
                </c:pt>
                <c:pt idx="73">
                  <c:v>31.577520058452691</c:v>
                </c:pt>
                <c:pt idx="74">
                  <c:v>31.383029475214812</c:v>
                </c:pt>
                <c:pt idx="75">
                  <c:v>31.188753325993321</c:v>
                </c:pt>
                <c:pt idx="76">
                  <c:v>30.994697953024417</c:v>
                </c:pt>
                <c:pt idx="77">
                  <c:v>30.800869711647962</c:v>
                </c:pt>
                <c:pt idx="78">
                  <c:v>30.607274952796057</c:v>
                </c:pt>
                <c:pt idx="79">
                  <c:v>30.413920003966179</c:v>
                </c:pt>
                <c:pt idx="80">
                  <c:v>30.220811148641673</c:v>
                </c:pt>
                <c:pt idx="81">
                  <c:v>30.027954604134628</c:v>
                </c:pt>
                <c:pt idx="82">
                  <c:v>29.835356497831022</c:v>
                </c:pt>
                <c:pt idx="83">
                  <c:v>29.643022841836867</c:v>
                </c:pt>
                <c:pt idx="84">
                  <c:v>29.450959506031118</c:v>
                </c:pt>
                <c:pt idx="85">
                  <c:v>29.259172189549542</c:v>
                </c:pt>
                <c:pt idx="86">
                  <c:v>29.067666390739774</c:v>
                </c:pt>
                <c:pt idx="87">
                  <c:v>28.876447375645672</c:v>
                </c:pt>
                <c:pt idx="88">
                  <c:v>28.685520145098184</c:v>
                </c:pt>
                <c:pt idx="89">
                  <c:v>28.494889400513049</c:v>
                </c:pt>
                <c:pt idx="90">
                  <c:v>28.304559508516309</c:v>
                </c:pt>
                <c:pt idx="91">
                  <c:v>28.114534464543667</c:v>
                </c:pt>
                <c:pt idx="92">
                  <c:v>27.924817855583576</c:v>
                </c:pt>
                <c:pt idx="93">
                  <c:v>27.735412822260773</c:v>
                </c:pt>
                <c:pt idx="94">
                  <c:v>27.546322020481252</c:v>
                </c:pt>
                <c:pt idx="95">
                  <c:v>27.357547582887669</c:v>
                </c:pt>
                <c:pt idx="96">
                  <c:v>27.169091080397422</c:v>
                </c:pt>
                <c:pt idx="97">
                  <c:v>26.980953484122669</c:v>
                </c:pt>
                <c:pt idx="98">
                  <c:v>26.793135127994439</c:v>
                </c:pt>
                <c:pt idx="99">
                  <c:v>26.605635672434097</c:v>
                </c:pt>
                <c:pt idx="100">
                  <c:v>26.418454069435015</c:v>
                </c:pt>
                <c:pt idx="101">
                  <c:v>26.231588529434244</c:v>
                </c:pt>
                <c:pt idx="102">
                  <c:v>26.045036490366172</c:v>
                </c:pt>
                <c:pt idx="103">
                  <c:v>25.85879458929789</c:v>
                </c:pt>
                <c:pt idx="104">
                  <c:v>25.672858637051689</c:v>
                </c:pt>
                <c:pt idx="105">
                  <c:v>25.48722359621523</c:v>
                </c:pt>
                <c:pt idx="106">
                  <c:v>25.301883562936961</c:v>
                </c:pt>
                <c:pt idx="107">
                  <c:v>25.116831752886402</c:v>
                </c:pt>
                <c:pt idx="108">
                  <c:v>24.932060491741034</c:v>
                </c:pt>
                <c:pt idx="109">
                  <c:v>24.747561210535203</c:v>
                </c:pt>
                <c:pt idx="110">
                  <c:v>24.563324446170405</c:v>
                </c:pt>
                <c:pt idx="111">
                  <c:v>24.379339847348916</c:v>
                </c:pt>
                <c:pt idx="112">
                  <c:v>24.195596186144147</c:v>
                </c:pt>
                <c:pt idx="113">
                  <c:v>24.012081375367607</c:v>
                </c:pt>
                <c:pt idx="114">
                  <c:v>23.828782491836449</c:v>
                </c:pt>
                <c:pt idx="115">
                  <c:v>23.645685805580126</c:v>
                </c:pt>
                <c:pt idx="116">
                  <c:v>23.462776814957596</c:v>
                </c:pt>
                <c:pt idx="117">
                  <c:v>23.28004028758912</c:v>
                </c:pt>
                <c:pt idx="118">
                  <c:v>23.097460306930252</c:v>
                </c:pt>
                <c:pt idx="119">
                  <c:v>22.915020324249475</c:v>
                </c:pt>
                <c:pt idx="120">
                  <c:v>22.73270321569299</c:v>
                </c:pt>
                <c:pt idx="121">
                  <c:v>22.550491344056841</c:v>
                </c:pt>
                <c:pt idx="122">
                  <c:v>22.368366624816915</c:v>
                </c:pt>
                <c:pt idx="123">
                  <c:v>22.18631059590966</c:v>
                </c:pt>
                <c:pt idx="124">
                  <c:v>22.004304490699667</c:v>
                </c:pt>
                <c:pt idx="125">
                  <c:v>21.822329313525984</c:v>
                </c:pt>
                <c:pt idx="126">
                  <c:v>21.640365917177267</c:v>
                </c:pt>
                <c:pt idx="127">
                  <c:v>21.458395081621823</c:v>
                </c:pt>
                <c:pt idx="128">
                  <c:v>21.276397593292721</c:v>
                </c:pt>
                <c:pt idx="129">
                  <c:v>21.094354324227353</c:v>
                </c:pt>
                <c:pt idx="130">
                  <c:v>20.912246310354718</c:v>
                </c:pt>
                <c:pt idx="131">
                  <c:v>20.730054828243262</c:v>
                </c:pt>
                <c:pt idx="132">
                  <c:v>20.547761469639696</c:v>
                </c:pt>
                <c:pt idx="133">
                  <c:v>20.365348213165575</c:v>
                </c:pt>
                <c:pt idx="134">
                  <c:v>20.182797492575688</c:v>
                </c:pt>
                <c:pt idx="135">
                  <c:v>20.000092261037832</c:v>
                </c:pt>
                <c:pt idx="136">
                  <c:v>19.817216050943486</c:v>
                </c:pt>
                <c:pt idx="137">
                  <c:v>19.634153028827157</c:v>
                </c:pt>
                <c:pt idx="138">
                  <c:v>19.450888045035633</c:v>
                </c:pt>
                <c:pt idx="139">
                  <c:v>19.267406677859491</c:v>
                </c:pt>
                <c:pt idx="140">
                  <c:v>19.08369527191136</c:v>
                </c:pt>
                <c:pt idx="141">
                  <c:v>18.89974097060599</c:v>
                </c:pt>
                <c:pt idx="142">
                  <c:v>18.715531742671672</c:v>
                </c:pt>
                <c:pt idx="143">
                  <c:v>18.531056402687231</c:v>
                </c:pt>
                <c:pt idx="144">
                  <c:v>18.346304625707248</c:v>
                </c:pt>
                <c:pt idx="145">
                  <c:v>18.161266956100434</c:v>
                </c:pt>
                <c:pt idx="146">
                  <c:v>17.975934810778519</c:v>
                </c:pt>
                <c:pt idx="147">
                  <c:v>17.790300477048309</c:v>
                </c:pt>
                <c:pt idx="148">
                  <c:v>17.604357105361558</c:v>
                </c:pt>
                <c:pt idx="149">
                  <c:v>17.418098697272974</c:v>
                </c:pt>
                <c:pt idx="150">
                  <c:v>17.231520088953619</c:v>
                </c:pt>
                <c:pt idx="151">
                  <c:v>17.044616930624706</c:v>
                </c:pt>
                <c:pt idx="152">
                  <c:v>16.857385662298579</c:v>
                </c:pt>
                <c:pt idx="153">
                  <c:v>16.669823486223329</c:v>
                </c:pt>
                <c:pt idx="154">
                  <c:v>16.481928336433462</c:v>
                </c:pt>
                <c:pt idx="155">
                  <c:v>16.293698845806009</c:v>
                </c:pt>
                <c:pt idx="156">
                  <c:v>16.105134311020983</c:v>
                </c:pt>
                <c:pt idx="157">
                  <c:v>15.916234655807799</c:v>
                </c:pt>
                <c:pt idx="158">
                  <c:v>15.727000392852858</c:v>
                </c:pt>
                <c:pt idx="159">
                  <c:v>15.537432584719017</c:v>
                </c:pt>
                <c:pt idx="160">
                  <c:v>15.347532804111355</c:v>
                </c:pt>
                <c:pt idx="161">
                  <c:v>15.157303093800747</c:v>
                </c:pt>
                <c:pt idx="162">
                  <c:v>14.966745926490646</c:v>
                </c:pt>
                <c:pt idx="163">
                  <c:v>14.775864164888475</c:v>
                </c:pt>
                <c:pt idx="164">
                  <c:v>14.584661022217817</c:v>
                </c:pt>
                <c:pt idx="165">
                  <c:v>14.393140023379068</c:v>
                </c:pt>
                <c:pt idx="166">
                  <c:v>14.201304966942933</c:v>
                </c:pt>
                <c:pt idx="167">
                  <c:v>14.009159888133581</c:v>
                </c:pt>
                <c:pt idx="168">
                  <c:v>13.816709022934916</c:v>
                </c:pt>
                <c:pt idx="169">
                  <c:v>13.623956773429795</c:v>
                </c:pt>
                <c:pt idx="170">
                  <c:v>13.430907674459087</c:v>
                </c:pt>
                <c:pt idx="171">
                  <c:v>13.237566361667827</c:v>
                </c:pt>
                <c:pt idx="172">
                  <c:v>13.043937540984283</c:v>
                </c:pt>
                <c:pt idx="173">
                  <c:v>12.850025959562974</c:v>
                </c:pt>
                <c:pt idx="174">
                  <c:v>12.655836378204201</c:v>
                </c:pt>
                <c:pt idx="175">
                  <c:v>12.461373545248653</c:v>
                </c:pt>
                <c:pt idx="176">
                  <c:v>12.266642171933411</c:v>
                </c:pt>
                <c:pt idx="177">
                  <c:v>12.071646909184018</c:v>
                </c:pt>
                <c:pt idx="178">
                  <c:v>11.876392325806533</c:v>
                </c:pt>
                <c:pt idx="179">
                  <c:v>11.680882888036805</c:v>
                </c:pt>
                <c:pt idx="180">
                  <c:v>11.485122940395707</c:v>
                </c:pt>
                <c:pt idx="181">
                  <c:v>11.289116687793557</c:v>
                </c:pt>
                <c:pt idx="182">
                  <c:v>11.092868178822361</c:v>
                </c:pt>
                <c:pt idx="183">
                  <c:v>10.896381290171641</c:v>
                </c:pt>
                <c:pt idx="184">
                  <c:v>10.699659712099116</c:v>
                </c:pt>
                <c:pt idx="185">
                  <c:v>10.502706934888334</c:v>
                </c:pt>
                <c:pt idx="186">
                  <c:v>10.305526236221459</c:v>
                </c:pt>
                <c:pt idx="187">
                  <c:v>10.108120669397834</c:v>
                </c:pt>
                <c:pt idx="188">
                  <c:v>9.9104930523271779</c:v>
                </c:pt>
                <c:pt idx="189">
                  <c:v>9.7126459572281334</c:v>
                </c:pt>
                <c:pt idx="190">
                  <c:v>9.5145817009647633</c:v>
                </c:pt>
                <c:pt idx="191">
                  <c:v>9.3163023359527575</c:v>
                </c:pt>
                <c:pt idx="192">
                  <c:v>9.11780964157259</c:v>
                </c:pt>
                <c:pt idx="193">
                  <c:v>8.919105116026893</c:v>
                </c:pt>
                <c:pt idx="194">
                  <c:v>8.7201899685813409</c:v>
                </c:pt>
                <c:pt idx="195">
                  <c:v>8.5210651121336554</c:v>
                </c:pt>
                <c:pt idx="196">
                  <c:v>8.3217311560553888</c:v>
                </c:pt>
                <c:pt idx="197">
                  <c:v>8.1221883992553767</c:v>
                </c:pt>
                <c:pt idx="198">
                  <c:v>7.9224368234172662</c:v>
                </c:pt>
                <c:pt idx="199">
                  <c:v>7.7224760863655018</c:v>
                </c:pt>
                <c:pt idx="200">
                  <c:v>7.5223055155182648</c:v>
                </c:pt>
                <c:pt idx="201">
                  <c:v>7.3219241013880989</c:v>
                </c:pt>
                <c:pt idx="202">
                  <c:v>7.1213304910950628</c:v>
                </c:pt>
                <c:pt idx="203">
                  <c:v>6.9205229818609491</c:v>
                </c:pt>
                <c:pt idx="204">
                  <c:v>6.7194995144538563</c:v>
                </c:pt>
                <c:pt idx="205">
                  <c:v>6.5182576665594745</c:v>
                </c:pt>
                <c:pt idx="206">
                  <c:v>6.3167946460557012</c:v>
                </c:pt>
                <c:pt idx="207">
                  <c:v>6.1151072841717804</c:v>
                </c:pt>
                <c:pt idx="208">
                  <c:v>5.9131920285164119</c:v>
                </c:pt>
                <c:pt idx="209">
                  <c:v>5.7110449359638658</c:v>
                </c:pt>
                <c:pt idx="210">
                  <c:v>5.5086616653879803</c:v>
                </c:pt>
                <c:pt idx="211">
                  <c:v>5.3060374702403745</c:v>
                </c:pt>
                <c:pt idx="212">
                  <c:v>5.1031671909713205</c:v>
                </c:pt>
                <c:pt idx="213">
                  <c:v>4.9000452472956457</c:v>
                </c:pt>
                <c:pt idx="214">
                  <c:v>4.6966656303112613</c:v>
                </c:pt>
                <c:pt idx="215">
                  <c:v>4.4930218944792397</c:v>
                </c:pt>
                <c:pt idx="216">
                  <c:v>4.2891071494819579</c:v>
                </c:pt>
                <c:pt idx="217">
                  <c:v>4.0849140519775817</c:v>
                </c:pt>
                <c:pt idx="218">
                  <c:v>3.8804347972752069</c:v>
                </c:pt>
                <c:pt idx="219">
                  <c:v>3.6756611109587478</c:v>
                </c:pt>
                <c:pt idx="220">
                  <c:v>3.4705842404940062</c:v>
                </c:pt>
                <c:pt idx="221">
                  <c:v>3.2651949468567265</c:v>
                </c:pt>
                <c:pt idx="222">
                  <c:v>3.0594834962268775</c:v>
                </c:pt>
                <c:pt idx="223">
                  <c:v>2.8534396517993703</c:v>
                </c:pt>
                <c:pt idx="224">
                  <c:v>2.647052665765846</c:v>
                </c:pt>
                <c:pt idx="225">
                  <c:v>2.4403112715323254</c:v>
                </c:pt>
                <c:pt idx="226">
                  <c:v>2.2332036762389698</c:v>
                </c:pt>
                <c:pt idx="227">
                  <c:v>2.0257175536609071</c:v>
                </c:pt>
                <c:pt idx="228">
                  <c:v>1.8178400375694452</c:v>
                </c:pt>
                <c:pt idx="229">
                  <c:v>1.6095577156478771</c:v>
                </c:pt>
                <c:pt idx="230">
                  <c:v>1.4008566240566047</c:v>
                </c:pt>
                <c:pt idx="231">
                  <c:v>1.1917222427555114</c:v>
                </c:pt>
                <c:pt idx="232">
                  <c:v>0.98213949169638648</c:v>
                </c:pt>
                <c:pt idx="233">
                  <c:v>0.77209272800950979</c:v>
                </c:pt>
                <c:pt idx="234">
                  <c:v>0.56156574431125839</c:v>
                </c:pt>
                <c:pt idx="235">
                  <c:v>0.3505417682766524</c:v>
                </c:pt>
                <c:pt idx="236">
                  <c:v>0.13900346362061439</c:v>
                </c:pt>
                <c:pt idx="237">
                  <c:v>-7.3067067354733214E-2</c:v>
                </c:pt>
                <c:pt idx="238">
                  <c:v>-0.2856882794817871</c:v>
                </c:pt>
                <c:pt idx="239">
                  <c:v>-0.49887917854693292</c:v>
                </c:pt>
                <c:pt idx="240">
                  <c:v>-0.71265931302794028</c:v>
                </c:pt>
                <c:pt idx="241">
                  <c:v>-0.92704876356104904</c:v>
                </c:pt>
                <c:pt idx="242">
                  <c:v>-1.142068129944487</c:v>
                </c:pt>
                <c:pt idx="243">
                  <c:v>-1.35773851547872</c:v>
                </c:pt>
                <c:pt idx="244">
                  <c:v>-1.5740815084394744</c:v>
                </c:pt>
                <c:pt idx="245">
                  <c:v>-1.7911191604744712</c:v>
                </c:pt>
                <c:pt idx="246">
                  <c:v>-2.0088739617121543</c:v>
                </c:pt>
                <c:pt idx="247">
                  <c:v>-2.2273688123729691</c:v>
                </c:pt>
                <c:pt idx="248">
                  <c:v>-2.4466269906683142</c:v>
                </c:pt>
                <c:pt idx="249">
                  <c:v>-2.6666721167821232</c:v>
                </c:pt>
                <c:pt idx="250">
                  <c:v>-2.8875281127280701</c:v>
                </c:pt>
                <c:pt idx="251">
                  <c:v>-3.1092191578869204</c:v>
                </c:pt>
                <c:pt idx="252">
                  <c:v>-3.3317696400366978</c:v>
                </c:pt>
                <c:pt idx="253">
                  <c:v>-3.5552041017004306</c:v>
                </c:pt>
                <c:pt idx="254">
                  <c:v>-3.7795471816526769</c:v>
                </c:pt>
                <c:pt idx="255">
                  <c:v>-4.0048235514441828</c:v>
                </c:pt>
                <c:pt idx="256">
                  <c:v>-4.2310578468263156</c:v>
                </c:pt>
                <c:pt idx="257">
                  <c:v>-4.4582745939837718</c:v>
                </c:pt>
                <c:pt idx="258">
                  <c:v>-4.6864981305097499</c:v>
                </c:pt>
                <c:pt idx="259">
                  <c:v>-4.9157525210976409</c:v>
                </c:pt>
                <c:pt idx="260">
                  <c:v>-5.1460614679517516</c:v>
                </c:pt>
                <c:pt idx="261">
                  <c:v>-5.3774482159682595</c:v>
                </c:pt>
                <c:pt idx="262">
                  <c:v>-5.6099354527754492</c:v>
                </c:pt>
                <c:pt idx="263">
                  <c:v>-5.8435452037744673</c:v>
                </c:pt>
                <c:pt idx="264">
                  <c:v>-6.0782987223698646</c:v>
                </c:pt>
                <c:pt idx="265">
                  <c:v>-6.3142163756356364</c:v>
                </c:pt>
                <c:pt idx="266">
                  <c:v>-6.5513175257158975</c:v>
                </c:pt>
                <c:pt idx="267">
                  <c:v>-6.7896204073209496</c:v>
                </c:pt>
                <c:pt idx="268">
                  <c:v>-7.0291420017370845</c:v>
                </c:pt>
                <c:pt idx="269">
                  <c:v>-7.2698979078306927</c:v>
                </c:pt>
                <c:pt idx="270">
                  <c:v>-7.5119022105869568</c:v>
                </c:pt>
                <c:pt idx="271">
                  <c:v>-7.7551673477856786</c:v>
                </c:pt>
                <c:pt idx="272">
                  <c:v>-7.9997039754717294</c:v>
                </c:pt>
                <c:pt idx="273">
                  <c:v>-8.2455208329389169</c:v>
                </c:pt>
                <c:pt idx="274">
                  <c:v>-8.4926246079946051</c:v>
                </c:pt>
                <c:pt idx="275">
                  <c:v>-8.741019803322537</c:v>
                </c:pt>
                <c:pt idx="276">
                  <c:v>-8.9907086048060485</c:v>
                </c:pt>
                <c:pt idx="277">
                  <c:v>-9.2416907527079957</c:v>
                </c:pt>
                <c:pt idx="278">
                  <c:v>-9.4939634166365181</c:v>
                </c:pt>
                <c:pt idx="279">
                  <c:v>-9.7475210752458423</c:v>
                </c:pt>
                <c:pt idx="280">
                  <c:v>-10.002355401635633</c:v>
                </c:pt>
                <c:pt idx="281">
                  <c:v>-10.258455155417064</c:v>
                </c:pt>
                <c:pt idx="282">
                  <c:v>-10.515806082407259</c:v>
                </c:pt>
                <c:pt idx="283">
                  <c:v>-10.774390822898436</c:v>
                </c:pt>
                <c:pt idx="284">
                  <c:v>-11.034188829423513</c:v>
                </c:pt>
                <c:pt idx="285">
                  <c:v>-11.295176294901019</c:v>
                </c:pt>
                <c:pt idx="286">
                  <c:v>-11.557326091999911</c:v>
                </c:pt>
                <c:pt idx="287">
                  <c:v>-11.820607724504546</c:v>
                </c:pt>
                <c:pt idx="288">
                  <c:v>-12.084987291399107</c:v>
                </c:pt>
                <c:pt idx="289">
                  <c:v>-12.350427464313087</c:v>
                </c:pt>
                <c:pt idx="290">
                  <c:v>-12.616887478892469</c:v>
                </c:pt>
                <c:pt idx="291">
                  <c:v>-12.884323140567563</c:v>
                </c:pt>
                <c:pt idx="292">
                  <c:v>-13.152686845100289</c:v>
                </c:pt>
                <c:pt idx="293">
                  <c:v>-13.421927614190954</c:v>
                </c:pt>
                <c:pt idx="294">
                  <c:v>-13.691991146325357</c:v>
                </c:pt>
                <c:pt idx="295">
                  <c:v>-13.962819882937861</c:v>
                </c:pt>
                <c:pt idx="296">
                  <c:v>-14.234353089863438</c:v>
                </c:pt>
                <c:pt idx="297">
                  <c:v>-14.506526953945013</c:v>
                </c:pt>
                <c:pt idx="298">
                  <c:v>-14.779274694562968</c:v>
                </c:pt>
                <c:pt idx="299">
                  <c:v>-15.05252668975155</c:v>
                </c:pt>
                <c:pt idx="300">
                  <c:v>-15.3262106164728</c:v>
                </c:pt>
                <c:pt idx="301">
                  <c:v>-15.600251604525713</c:v>
                </c:pt>
                <c:pt idx="302">
                  <c:v>-15.874572403485352</c:v>
                </c:pt>
                <c:pt idx="303">
                  <c:v>-16.149093561983449</c:v>
                </c:pt>
                <c:pt idx="304">
                  <c:v>-16.42373361857307</c:v>
                </c:pt>
                <c:pt idx="305">
                  <c:v>-16.698409303351006</c:v>
                </c:pt>
                <c:pt idx="306">
                  <c:v>-16.973035749454922</c:v>
                </c:pt>
                <c:pt idx="307">
                  <c:v>-17.247526713503145</c:v>
                </c:pt>
                <c:pt idx="308">
                  <c:v>-17.521794803999089</c:v>
                </c:pt>
                <c:pt idx="309">
                  <c:v>-17.795751716691335</c:v>
                </c:pt>
                <c:pt idx="310">
                  <c:v>-18.069308475849322</c:v>
                </c:pt>
                <c:pt idx="311">
                  <c:v>-18.342375680400625</c:v>
                </c:pt>
                <c:pt idx="312">
                  <c:v>-18.61486375385957</c:v>
                </c:pt>
                <c:pt idx="313">
                  <c:v>-18.886683196976545</c:v>
                </c:pt>
                <c:pt idx="314">
                  <c:v>-19.157744842038035</c:v>
                </c:pt>
                <c:pt idx="315">
                  <c:v>-19.427960107761116</c:v>
                </c:pt>
                <c:pt idx="316">
                  <c:v>-19.697241253740874</c:v>
                </c:pt>
                <c:pt idx="317">
                  <c:v>-19.965501633435625</c:v>
                </c:pt>
                <c:pt idx="318">
                  <c:v>-20.232655944702081</c:v>
                </c:pt>
                <c:pt idx="319">
                  <c:v>-20.498620476935624</c:v>
                </c:pt>
                <c:pt idx="320">
                  <c:v>-20.763313353905044</c:v>
                </c:pt>
                <c:pt idx="321">
                  <c:v>-21.026654771424219</c:v>
                </c:pt>
                <c:pt idx="322">
                  <c:v>-21.288567229055182</c:v>
                </c:pt>
                <c:pt idx="323">
                  <c:v>-21.548975755090961</c:v>
                </c:pt>
                <c:pt idx="324">
                  <c:v>-21.807808124128055</c:v>
                </c:pt>
                <c:pt idx="325">
                  <c:v>-22.064995066602158</c:v>
                </c:pt>
                <c:pt idx="326">
                  <c:v>-22.320470469724704</c:v>
                </c:pt>
                <c:pt idx="327">
                  <c:v>-22.574171569322587</c:v>
                </c:pt>
                <c:pt idx="328">
                  <c:v>-22.826039132152967</c:v>
                </c:pt>
                <c:pt idx="329">
                  <c:v>-23.076017628325303</c:v>
                </c:pt>
                <c:pt idx="330">
                  <c:v>-23.324055393532706</c:v>
                </c:pt>
                <c:pt idx="331">
                  <c:v>-23.570104780848176</c:v>
                </c:pt>
                <c:pt idx="332">
                  <c:v>-23.814122301902948</c:v>
                </c:pt>
                <c:pt idx="333">
                  <c:v>-24.056068757313916</c:v>
                </c:pt>
                <c:pt idx="334">
                  <c:v>-24.295909356273548</c:v>
                </c:pt>
                <c:pt idx="335">
                  <c:v>-24.533613825252026</c:v>
                </c:pt>
                <c:pt idx="336">
                  <c:v>-24.769156505798954</c:v>
                </c:pt>
                <c:pt idx="337">
                  <c:v>-25.002516441450624</c:v>
                </c:pt>
                <c:pt idx="338">
                  <c:v>-25.233677453768276</c:v>
                </c:pt>
                <c:pt idx="339">
                  <c:v>-25.462628207539378</c:v>
                </c:pt>
                <c:pt idx="340">
                  <c:v>-25.68936226517506</c:v>
                </c:pt>
                <c:pt idx="341">
                  <c:v>-25.913878130329646</c:v>
                </c:pt>
                <c:pt idx="342">
                  <c:v>-26.136179280751819</c:v>
                </c:pt>
                <c:pt idx="343">
                  <c:v>-26.35627419035999</c:v>
                </c:pt>
                <c:pt idx="344">
                  <c:v>-26.574176340505499</c:v>
                </c:pt>
                <c:pt idx="345">
                  <c:v>-26.789904220360988</c:v>
                </c:pt>
                <c:pt idx="346">
                  <c:v>-27.003481316335929</c:v>
                </c:pt>
                <c:pt idx="347">
                  <c:v>-27.214936090391898</c:v>
                </c:pt>
                <c:pt idx="348">
                  <c:v>-27.424301947095863</c:v>
                </c:pt>
                <c:pt idx="349">
                  <c:v>-27.631617189220087</c:v>
                </c:pt>
                <c:pt idx="350">
                  <c:v>-27.836924961669478</c:v>
                </c:pt>
                <c:pt idx="351">
                  <c:v>-28.040273183499018</c:v>
                </c:pt>
                <c:pt idx="352">
                  <c:v>-28.241714467766108</c:v>
                </c:pt>
                <c:pt idx="353">
                  <c:v>-28.441306028957413</c:v>
                </c:pt>
                <c:pt idx="354">
                  <c:v>-28.639109577733311</c:v>
                </c:pt>
                <c:pt idx="355">
                  <c:v>-28.835191202743648</c:v>
                </c:pt>
                <c:pt idx="356">
                  <c:v>-29.029621239291682</c:v>
                </c:pt>
                <c:pt idx="357">
                  <c:v>-29.222474124661858</c:v>
                </c:pt>
                <c:pt idx="358">
                  <c:v>-29.413828239964147</c:v>
                </c:pt>
                <c:pt idx="359">
                  <c:v>-29.603765738414438</c:v>
                </c:pt>
                <c:pt idx="360">
                  <c:v>-29.792372360030864</c:v>
                </c:pt>
                <c:pt idx="361">
                  <c:v>-29.97973723280694</c:v>
                </c:pt>
                <c:pt idx="362">
                  <c:v>-30.165952660511572</c:v>
                </c:pt>
                <c:pt idx="363">
                  <c:v>-30.351113897360044</c:v>
                </c:pt>
                <c:pt idx="364">
                  <c:v>-30.535318909903175</c:v>
                </c:pt>
                <c:pt idx="365">
                  <c:v>-30.718668126594302</c:v>
                </c:pt>
                <c:pt idx="366">
                  <c:v>-30.901264175607338</c:v>
                </c:pt>
                <c:pt idx="367">
                  <c:v>-31.08321161159175</c:v>
                </c:pt>
                <c:pt idx="368">
                  <c:v>-31.26461663217615</c:v>
                </c:pt>
                <c:pt idx="369">
                  <c:v>-31.445586785144961</c:v>
                </c:pt>
                <c:pt idx="370">
                  <c:v>-31.626230667330937</c:v>
                </c:pt>
                <c:pt idx="371">
                  <c:v>-31.806657616379454</c:v>
                </c:pt>
                <c:pt idx="372">
                  <c:v>-31.986977396646896</c:v>
                </c:pt>
                <c:pt idx="373">
                  <c:v>-32.167299880598698</c:v>
                </c:pt>
                <c:pt idx="374">
                  <c:v>-32.347734727162461</c:v>
                </c:pt>
                <c:pt idx="375">
                  <c:v>-32.528391058578578</c:v>
                </c:pt>
                <c:pt idx="376">
                  <c:v>-32.709377137362388</c:v>
                </c:pt>
                <c:pt idx="377">
                  <c:v>-32.890800045051087</c:v>
                </c:pt>
                <c:pt idx="378">
                  <c:v>-33.072765364463038</c:v>
                </c:pt>
                <c:pt idx="379">
                  <c:v>-33.255376867225507</c:v>
                </c:pt>
                <c:pt idx="380">
                  <c:v>-33.438736208353092</c:v>
                </c:pt>
                <c:pt idx="381">
                  <c:v>-33.622942629662433</c:v>
                </c:pt>
                <c:pt idx="382">
                  <c:v>-33.808092673800928</c:v>
                </c:pt>
                <c:pt idx="383">
                  <c:v>-33.994279910641708</c:v>
                </c:pt>
                <c:pt idx="384">
                  <c:v>-34.181594677758021</c:v>
                </c:pt>
                <c:pt idx="385">
                  <c:v>-34.370123836631848</c:v>
                </c:pt>
                <c:pt idx="386">
                  <c:v>-34.559950546182257</c:v>
                </c:pt>
                <c:pt idx="387">
                  <c:v>-34.75115405511049</c:v>
                </c:pt>
                <c:pt idx="388">
                  <c:v>-34.943809514455594</c:v>
                </c:pt>
                <c:pt idx="389">
                  <c:v>-35.13798781164197</c:v>
                </c:pt>
                <c:pt idx="390">
                  <c:v>-35.333755427163204</c:v>
                </c:pt>
                <c:pt idx="391">
                  <c:v>-35.531174314911027</c:v>
                </c:pt>
                <c:pt idx="392">
                  <c:v>-35.730301806997275</c:v>
                </c:pt>
                <c:pt idx="393">
                  <c:v>-35.931190543752606</c:v>
                </c:pt>
                <c:pt idx="394">
                  <c:v>-36.133888429413233</c:v>
                </c:pt>
                <c:pt idx="395">
                  <c:v>-36.33843861381709</c:v>
                </c:pt>
                <c:pt idx="396">
                  <c:v>-36.544879500247283</c:v>
                </c:pt>
                <c:pt idx="397">
                  <c:v>-36.753244779360259</c:v>
                </c:pt>
                <c:pt idx="398">
                  <c:v>-36.963563488939897</c:v>
                </c:pt>
                <c:pt idx="399">
                  <c:v>-37.175860099017648</c:v>
                </c:pt>
                <c:pt idx="400">
                  <c:v>-37.390154621698663</c:v>
                </c:pt>
                <c:pt idx="401">
                  <c:v>-37.606462744836506</c:v>
                </c:pt>
                <c:pt idx="402">
                  <c:v>-37.824795988505031</c:v>
                </c:pt>
                <c:pt idx="403">
                  <c:v>-38.045161883030318</c:v>
                </c:pt>
                <c:pt idx="404">
                  <c:v>-38.267564167164053</c:v>
                </c:pt>
                <c:pt idx="405">
                  <c:v>-38.492003004813611</c:v>
                </c:pt>
                <c:pt idx="406">
                  <c:v>-38.718475218585688</c:v>
                </c:pt>
                <c:pt idx="407">
                  <c:v>-38.946974538260712</c:v>
                </c:pt>
                <c:pt idx="408">
                  <c:v>-39.177491862185747</c:v>
                </c:pt>
                <c:pt idx="409">
                  <c:v>-39.410015529467174</c:v>
                </c:pt>
                <c:pt idx="410">
                  <c:v>-39.6445316007527</c:v>
                </c:pt>
                <c:pt idx="411">
                  <c:v>-39.881024145324993</c:v>
                </c:pt>
                <c:pt idx="412">
                  <c:v>-40.119475532177404</c:v>
                </c:pt>
                <c:pt idx="413">
                  <c:v>-40.359866722720284</c:v>
                </c:pt>
                <c:pt idx="414">
                  <c:v>-40.602177562757646</c:v>
                </c:pt>
                <c:pt idx="415">
                  <c:v>-40.846387071401431</c:v>
                </c:pt>
                <c:pt idx="416">
                  <c:v>-41.092473724621144</c:v>
                </c:pt>
                <c:pt idx="417">
                  <c:v>-41.340415731205709</c:v>
                </c:pt>
                <c:pt idx="418">
                  <c:v>-41.590191298989517</c:v>
                </c:pt>
                <c:pt idx="419">
                  <c:v>-41.841778889309666</c:v>
                </c:pt>
                <c:pt idx="420">
                  <c:v>-42.095157457790194</c:v>
                </c:pt>
                <c:pt idx="421">
                  <c:v>-42.350306679688941</c:v>
                </c:pt>
                <c:pt idx="422">
                  <c:v>-42.607207158215992</c:v>
                </c:pt>
                <c:pt idx="423">
                  <c:v>-42.865840614403226</c:v>
                </c:pt>
                <c:pt idx="424">
                  <c:v>-43.126190057299922</c:v>
                </c:pt>
                <c:pt idx="425">
                  <c:v>-43.388239933469066</c:v>
                </c:pt>
                <c:pt idx="426">
                  <c:v>-43.651976254972389</c:v>
                </c:pt>
                <c:pt idx="427">
                  <c:v>-43.917386705239579</c:v>
                </c:pt>
                <c:pt idx="428">
                  <c:v>-44.184460722447561</c:v>
                </c:pt>
                <c:pt idx="429">
                  <c:v>-44.453189560242052</c:v>
                </c:pt>
                <c:pt idx="430">
                  <c:v>-44.723566325860695</c:v>
                </c:pt>
                <c:pt idx="431">
                  <c:v>-44.995585995924756</c:v>
                </c:pt>
                <c:pt idx="432">
                  <c:v>-45.269245410371745</c:v>
                </c:pt>
                <c:pt idx="433">
                  <c:v>-45.544543245203613</c:v>
                </c:pt>
                <c:pt idx="434">
                  <c:v>-45.821479964905613</c:v>
                </c:pt>
                <c:pt idx="435">
                  <c:v>-46.100057755567825</c:v>
                </c:pt>
                <c:pt idx="436">
                  <c:v>-46.380280439900339</c:v>
                </c:pt>
                <c:pt idx="437">
                  <c:v>-46.66215337547635</c:v>
                </c:pt>
                <c:pt idx="438">
                  <c:v>-46.945683337662309</c:v>
                </c:pt>
                <c:pt idx="439">
                  <c:v>-47.230878388806246</c:v>
                </c:pt>
                <c:pt idx="440">
                  <c:v>-47.517747735341082</c:v>
                </c:pt>
                <c:pt idx="441">
                  <c:v>-47.80630157453519</c:v>
                </c:pt>
                <c:pt idx="442">
                  <c:v>-48.096550932666077</c:v>
                </c:pt>
                <c:pt idx="443">
                  <c:v>-48.388507496434258</c:v>
                </c:pt>
                <c:pt idx="444">
                  <c:v>-48.682183439436287</c:v>
                </c:pt>
                <c:pt idx="445">
                  <c:v>-48.977591245517054</c:v>
                </c:pt>
                <c:pt idx="446">
                  <c:v>-49.274743530787227</c:v>
                </c:pt>
                <c:pt idx="447">
                  <c:v>-49.573652866056925</c:v>
                </c:pt>
                <c:pt idx="448">
                  <c:v>-49.874331601367558</c:v>
                </c:pt>
                <c:pt idx="449">
                  <c:v>-50.176791694233728</c:v>
                </c:pt>
                <c:pt idx="450">
                  <c:v>-50.48104454310986</c:v>
                </c:pt>
                <c:pt idx="451">
                  <c:v>-50.787100827497753</c:v>
                </c:pt>
                <c:pt idx="452">
                  <c:v>-51.094970355990547</c:v>
                </c:pt>
                <c:pt idx="453">
                  <c:v>-51.4046619234242</c:v>
                </c:pt>
                <c:pt idx="454">
                  <c:v>-51.716183178172827</c:v>
                </c:pt>
                <c:pt idx="455">
                  <c:v>-52.029540500485155</c:v>
                </c:pt>
                <c:pt idx="456">
                  <c:v>-52.344738892607609</c:v>
                </c:pt>
                <c:pt idx="457">
                  <c:v>-52.661781881302574</c:v>
                </c:pt>
                <c:pt idx="458">
                  <c:v>-52.980671433206737</c:v>
                </c:pt>
                <c:pt idx="459">
                  <c:v>-53.30140788334112</c:v>
                </c:pt>
                <c:pt idx="460">
                  <c:v>-53.623989876928079</c:v>
                </c:pt>
                <c:pt idx="461">
                  <c:v>-53.94841432453493</c:v>
                </c:pt>
                <c:pt idx="462">
                  <c:v>-54.274676370430555</c:v>
                </c:pt>
                <c:pt idx="463">
                  <c:v>-54.602769373910967</c:v>
                </c:pt>
                <c:pt idx="464">
                  <c:v>-54.932684903234772</c:v>
                </c:pt>
                <c:pt idx="465">
                  <c:v>-55.264412741700106</c:v>
                </c:pt>
                <c:pt idx="466">
                  <c:v>-55.597940905301051</c:v>
                </c:pt>
                <c:pt idx="467">
                  <c:v>-55.933255671310178</c:v>
                </c:pt>
                <c:pt idx="468">
                  <c:v>-56.270341617069654</c:v>
                </c:pt>
                <c:pt idx="469">
                  <c:v>-56.609181668205501</c:v>
                </c:pt>
                <c:pt idx="470">
                  <c:v>-56.949757155435961</c:v>
                </c:pt>
                <c:pt idx="471">
                  <c:v>-57.292047879110441</c:v>
                </c:pt>
                <c:pt idx="472">
                  <c:v>-57.636032180588536</c:v>
                </c:pt>
                <c:pt idx="473">
                  <c:v>-57.981687019562138</c:v>
                </c:pt>
                <c:pt idx="474">
                  <c:v>-58.32898805641949</c:v>
                </c:pt>
                <c:pt idx="475">
                  <c:v>-58.677909738763383</c:v>
                </c:pt>
                <c:pt idx="476">
                  <c:v>-59.028425391212053</c:v>
                </c:pt>
                <c:pt idx="477">
                  <c:v>-59.380507307640912</c:v>
                </c:pt>
                <c:pt idx="478">
                  <c:v>-59.734126845059585</c:v>
                </c:pt>
                <c:pt idx="479">
                  <c:v>-60.089254518356306</c:v>
                </c:pt>
                <c:pt idx="480">
                  <c:v>-60.445860095193744</c:v>
                </c:pt>
                <c:pt idx="481">
                  <c:v>-60.803912690386142</c:v>
                </c:pt>
                <c:pt idx="482">
                  <c:v>-61.163380859147097</c:v>
                </c:pt>
                <c:pt idx="483">
                  <c:v>-61.524232688647842</c:v>
                </c:pt>
                <c:pt idx="484">
                  <c:v>-61.886435887389119</c:v>
                </c:pt>
                <c:pt idx="485">
                  <c:v>-62.249957871942456</c:v>
                </c:pt>
                <c:pt idx="486">
                  <c:v>-62.614765850678339</c:v>
                </c:pt>
                <c:pt idx="487">
                  <c:v>-62.980826904152352</c:v>
                </c:pt>
                <c:pt idx="488">
                  <c:v>-63.348108061875443</c:v>
                </c:pt>
                <c:pt idx="489">
                  <c:v>-63.716576375248415</c:v>
                </c:pt>
                <c:pt idx="490">
                  <c:v>-64.086198986487616</c:v>
                </c:pt>
                <c:pt idx="491">
                  <c:v>-64.456943193418851</c:v>
                </c:pt>
                <c:pt idx="492">
                  <c:v>-64.828776510055704</c:v>
                </c:pt>
                <c:pt idx="493">
                  <c:v>-65.201666722923093</c:v>
                </c:pt>
                <c:pt idx="494">
                  <c:v>-65.575581943119317</c:v>
                </c:pt>
                <c:pt idx="495">
                  <c:v>-65.950490654145156</c:v>
                </c:pt>
                <c:pt idx="496">
                  <c:v>-66.326361755555723</c:v>
                </c:pt>
                <c:pt idx="497">
                  <c:v>-66.70316460251837</c:v>
                </c:pt>
                <c:pt idx="498">
                  <c:v>-67.080869041382002</c:v>
                </c:pt>
                <c:pt idx="499">
                  <c:v>-67.459445441378719</c:v>
                </c:pt>
                <c:pt idx="500">
                  <c:v>-67.838864722600846</c:v>
                </c:pt>
                <c:pt idx="501">
                  <c:v>-68.219098380401874</c:v>
                </c:pt>
                <c:pt idx="502">
                  <c:v>-68.600118506387162</c:v>
                </c:pt>
                <c:pt idx="503">
                  <c:v>-68.98189780616265</c:v>
                </c:pt>
                <c:pt idx="504">
                  <c:v>-69.364409614017276</c:v>
                </c:pt>
                <c:pt idx="505">
                  <c:v>-69.747627904718158</c:v>
                </c:pt>
                <c:pt idx="506">
                  <c:v>-70.131527302598812</c:v>
                </c:pt>
                <c:pt idx="507">
                  <c:v>-70.51608308812024</c:v>
                </c:pt>
                <c:pt idx="508">
                  <c:v>-70.901271202082924</c:v>
                </c:pt>
                <c:pt idx="509">
                  <c:v>-71.287068247666184</c:v>
                </c:pt>
                <c:pt idx="510">
                  <c:v>-71.673451490464302</c:v>
                </c:pt>
                <c:pt idx="511">
                  <c:v>-72.060398856688906</c:v>
                </c:pt>
                <c:pt idx="512">
                  <c:v>-72.447888929694756</c:v>
                </c:pt>
                <c:pt idx="513">
                  <c:v>-72.83590094498804</c:v>
                </c:pt>
                <c:pt idx="514">
                  <c:v>-73.224414783861505</c:v>
                </c:pt>
                <c:pt idx="515">
                  <c:v>-73.613410965799602</c:v>
                </c:pt>
                <c:pt idx="516">
                  <c:v>-74.002870639787034</c:v>
                </c:pt>
                <c:pt idx="517">
                  <c:v>-74.392775574647132</c:v>
                </c:pt>
                <c:pt idx="518">
                  <c:v>-74.783108148529095</c:v>
                </c:pt>
                <c:pt idx="519">
                  <c:v>-75.173851337656131</c:v>
                </c:pt>
                <c:pt idx="520">
                  <c:v>-75.564988704439344</c:v>
                </c:pt>
                <c:pt idx="521">
                  <c:v>-75.956504385052327</c:v>
                </c:pt>
                <c:pt idx="522">
                  <c:v>-76.348383076560253</c:v>
                </c:pt>
                <c:pt idx="523">
                  <c:v>-76.740610023683203</c:v>
                </c:pt>
                <c:pt idx="524">
                  <c:v>-77.133171005274306</c:v>
                </c:pt>
                <c:pt idx="525">
                  <c:v>-77.526052320578827</c:v>
                </c:pt>
                <c:pt idx="526">
                  <c:v>-77.919240775343582</c:v>
                </c:pt>
                <c:pt idx="527">
                  <c:v>-78.312723667830838</c:v>
                </c:pt>
                <c:pt idx="528">
                  <c:v>-78.706488774794209</c:v>
                </c:pt>
                <c:pt idx="529">
                  <c:v>-79.10052433746165</c:v>
                </c:pt>
                <c:pt idx="530">
                  <c:v>-79.494819047569777</c:v>
                </c:pt>
                <c:pt idx="531">
                  <c:v>-79.889362033491281</c:v>
                </c:pt>
                <c:pt idx="532">
                  <c:v>-80.284142846482979</c:v>
                </c:pt>
                <c:pt idx="533">
                  <c:v>-80.679151447094483</c:v>
                </c:pt>
                <c:pt idx="534">
                  <c:v>-81.07437819175604</c:v>
                </c:pt>
                <c:pt idx="535">
                  <c:v>-81.469813819574995</c:v>
                </c:pt>
                <c:pt idx="536">
                  <c:v>-81.865449439357235</c:v>
                </c:pt>
                <c:pt idx="537">
                  <c:v>-82.26127651687429</c:v>
                </c:pt>
                <c:pt idx="538">
                  <c:v>-82.657286862388531</c:v>
                </c:pt>
                <c:pt idx="539">
                  <c:v>-83.053472618450002</c:v>
                </c:pt>
                <c:pt idx="540">
                  <c:v>-83.449826247975153</c:v>
                </c:pt>
                <c:pt idx="541">
                  <c:v>-83.846340522615108</c:v>
                </c:pt>
              </c:numCache>
            </c:numRef>
          </c:yVal>
          <c:smooth val="1"/>
          <c:extLst>
            <c:ext xmlns:c16="http://schemas.microsoft.com/office/drawing/2014/chart" uri="{C3380CC4-5D6E-409C-BE32-E72D297353CC}">
              <c16:uniqueId val="{00000000-ACF8-49D1-9313-CAF9B0C485FE}"/>
            </c:ext>
          </c:extLst>
        </c:ser>
        <c:dLbls>
          <c:showLegendKey val="0"/>
          <c:showVal val="0"/>
          <c:showCatName val="0"/>
          <c:showSerName val="0"/>
          <c:showPercent val="0"/>
          <c:showBubbleSize val="0"/>
        </c:dLbls>
        <c:axId val="555528192"/>
        <c:axId val="555530112"/>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Loop_Modeling!$BP$19:$BP$560</c:f>
              <c:numCache>
                <c:formatCode>General</c:formatCode>
                <c:ptCount val="542"/>
                <c:pt idx="0">
                  <c:v>90.476149319562765</c:v>
                </c:pt>
                <c:pt idx="1">
                  <c:v>90.487155357161257</c:v>
                </c:pt>
                <c:pt idx="2">
                  <c:v>90.498411713202458</c:v>
                </c:pt>
                <c:pt idx="3">
                  <c:v>90.509923789318265</c:v>
                </c:pt>
                <c:pt idx="4">
                  <c:v>90.521697082677818</c:v>
                </c:pt>
                <c:pt idx="5">
                  <c:v>90.533737186095294</c:v>
                </c:pt>
                <c:pt idx="6">
                  <c:v>90.546049787995244</c:v>
                </c:pt>
                <c:pt idx="7">
                  <c:v>90.558640672221273</c:v>
                </c:pt>
                <c:pt idx="8">
                  <c:v>90.571515717674743</c:v>
                </c:pt>
                <c:pt idx="9">
                  <c:v>90.584680897768848</c:v>
                </c:pt>
                <c:pt idx="10">
                  <c:v>90.598142279681269</c:v>
                </c:pt>
                <c:pt idx="11">
                  <c:v>90.611906023389153</c:v>
                </c:pt>
                <c:pt idx="12">
                  <c:v>90.625978380467586</c:v>
                </c:pt>
                <c:pt idx="13">
                  <c:v>90.640365692632855</c:v>
                </c:pt>
                <c:pt idx="14">
                  <c:v>90.655074390009119</c:v>
                </c:pt>
                <c:pt idx="15">
                  <c:v>90.670110989096457</c:v>
                </c:pt>
                <c:pt idx="16">
                  <c:v>90.685482090417921</c:v>
                </c:pt>
                <c:pt idx="17">
                  <c:v>90.701194375818574</c:v>
                </c:pt>
                <c:pt idx="18">
                  <c:v>90.717254605392029</c:v>
                </c:pt>
                <c:pt idx="19">
                  <c:v>90.733669614004938</c:v>
                </c:pt>
                <c:pt idx="20">
                  <c:v>90.750446307389609</c:v>
                </c:pt>
                <c:pt idx="21">
                  <c:v>90.767591657773693</c:v>
                </c:pt>
                <c:pt idx="22">
                  <c:v>90.785112699011933</c:v>
                </c:pt>
                <c:pt idx="23">
                  <c:v>90.803016521186009</c:v>
                </c:pt>
                <c:pt idx="24">
                  <c:v>90.82131026463226</c:v>
                </c:pt>
                <c:pt idx="25">
                  <c:v>90.840001113360401</c:v>
                </c:pt>
                <c:pt idx="26">
                  <c:v>90.859096287817536</c:v>
                </c:pt>
                <c:pt idx="27">
                  <c:v>90.87860303695615</c:v>
                </c:pt>
                <c:pt idx="28">
                  <c:v>90.898528629556893</c:v>
                </c:pt>
                <c:pt idx="29">
                  <c:v>90.918880344757852</c:v>
                </c:pt>
                <c:pt idx="30">
                  <c:v>90.939665461737434</c:v>
                </c:pt>
                <c:pt idx="31">
                  <c:v>90.960891248498029</c:v>
                </c:pt>
                <c:pt idx="32">
                  <c:v>90.982564949689831</c:v>
                </c:pt>
                <c:pt idx="33">
                  <c:v>91.004693773419874</c:v>
                </c:pt>
                <c:pt idx="34">
                  <c:v>91.027284876977276</c:v>
                </c:pt>
                <c:pt idx="35">
                  <c:v>91.050345351415913</c:v>
                </c:pt>
                <c:pt idx="36">
                  <c:v>91.07388220492065</c:v>
                </c:pt>
                <c:pt idx="37">
                  <c:v>91.097902344889079</c:v>
                </c:pt>
                <c:pt idx="38">
                  <c:v>91.122412558655441</c:v>
                </c:pt>
                <c:pt idx="39">
                  <c:v>91.147419492778582</c:v>
                </c:pt>
                <c:pt idx="40">
                  <c:v>91.172929630816427</c:v>
                </c:pt>
                <c:pt idx="41">
                  <c:v>91.198949269505178</c:v>
                </c:pt>
                <c:pt idx="42">
                  <c:v>91.225484493261405</c:v>
                </c:pt>
                <c:pt idx="43">
                  <c:v>91.252541146918574</c:v>
                </c:pt>
                <c:pt idx="44">
                  <c:v>91.280124806614182</c:v>
                </c:pt>
                <c:pt idx="45">
                  <c:v>91.308240748736807</c:v>
                </c:pt>
                <c:pt idx="46">
                  <c:v>91.336893916844616</c:v>
                </c:pt>
                <c:pt idx="47">
                  <c:v>91.366088886464254</c:v>
                </c:pt>
                <c:pt idx="48">
                  <c:v>91.395829827680998</c:v>
                </c:pt>
                <c:pt idx="49">
                  <c:v>91.426120465429491</c:v>
                </c:pt>
                <c:pt idx="50">
                  <c:v>91.456964037398308</c:v>
                </c:pt>
                <c:pt idx="51">
                  <c:v>91.488363249458175</c:v>
                </c:pt>
                <c:pt idx="52">
                  <c:v>91.520320228536434</c:v>
                </c:pt>
                <c:pt idx="53">
                  <c:v>91.552836472851439</c:v>
                </c:pt>
                <c:pt idx="54">
                  <c:v>91.585912799438006</c:v>
                </c:pt>
                <c:pt idx="55">
                  <c:v>91.619549288892031</c:v>
                </c:pt>
                <c:pt idx="56">
                  <c:v>91.653745227275252</c:v>
                </c:pt>
                <c:pt idx="57">
                  <c:v>91.688499045129106</c:v>
                </c:pt>
                <c:pt idx="58">
                  <c:v>91.72380825355647</c:v>
                </c:pt>
                <c:pt idx="59">
                  <c:v>91.759669377343727</c:v>
                </c:pt>
                <c:pt idx="60">
                  <c:v>91.796077885111501</c:v>
                </c:pt>
                <c:pt idx="61">
                  <c:v>91.833028116495953</c:v>
                </c:pt>
                <c:pt idx="62">
                  <c:v>91.870513206385965</c:v>
                </c:pt>
                <c:pt idx="63">
                  <c:v>91.908525006260362</c:v>
                </c:pt>
                <c:pt idx="64">
                  <c:v>91.947054002694045</c:v>
                </c:pt>
                <c:pt idx="65">
                  <c:v>91.986089233130869</c:v>
                </c:pt>
                <c:pt idx="66">
                  <c:v>92.025618199049902</c:v>
                </c:pt>
                <c:pt idx="67">
                  <c:v>92.065626776683132</c:v>
                </c:pt>
                <c:pt idx="68">
                  <c:v>92.106099125484647</c:v>
                </c:pt>
                <c:pt idx="69">
                  <c:v>92.14701759458373</c:v>
                </c:pt>
                <c:pt idx="70">
                  <c:v>92.188362627503295</c:v>
                </c:pt>
                <c:pt idx="71">
                  <c:v>92.23011266546942</c:v>
                </c:pt>
                <c:pt idx="72">
                  <c:v>92.272244049683692</c:v>
                </c:pt>
                <c:pt idx="73">
                  <c:v>92.314730922990748</c:v>
                </c:pt>
                <c:pt idx="74">
                  <c:v>92.35754513142038</c:v>
                </c:pt>
                <c:pt idx="75">
                  <c:v>92.400656126149642</c:v>
                </c:pt>
                <c:pt idx="76">
                  <c:v>92.444030866484212</c:v>
                </c:pt>
                <c:pt idx="77">
                  <c:v>92.487633724530639</c:v>
                </c:pt>
                <c:pt idx="78">
                  <c:v>92.531426392285411</c:v>
                </c:pt>
                <c:pt idx="79">
                  <c:v>92.575367791939058</c:v>
                </c:pt>
                <c:pt idx="80">
                  <c:v>92.619413990260668</c:v>
                </c:pt>
                <c:pt idx="81">
                  <c:v>92.66351811798684</c:v>
                </c:pt>
                <c:pt idx="82">
                  <c:v>92.707630295208318</c:v>
                </c:pt>
                <c:pt idx="83">
                  <c:v>92.751697563807269</c:v>
                </c:pt>
                <c:pt idx="84">
                  <c:v>92.795663828054728</c:v>
                </c:pt>
                <c:pt idx="85">
                  <c:v>92.839469804529301</c:v>
                </c:pt>
                <c:pt idx="86">
                  <c:v>92.883052982563342</c:v>
                </c:pt>
                <c:pt idx="87">
                  <c:v>92.926347596459806</c:v>
                </c:pt>
                <c:pt idx="88">
                  <c:v>92.969284610749781</c:v>
                </c:pt>
                <c:pt idx="89">
                  <c:v>93.011791719771878</c:v>
                </c:pt>
                <c:pt idx="90">
                  <c:v>93.053793362862336</c:v>
                </c:pt>
                <c:pt idx="91">
                  <c:v>93.095210756420641</c:v>
                </c:pt>
                <c:pt idx="92">
                  <c:v>93.135961944092543</c:v>
                </c:pt>
                <c:pt idx="93">
                  <c:v>93.175961866254113</c:v>
                </c:pt>
                <c:pt idx="94">
                  <c:v>93.215122449912684</c:v>
                </c:pt>
                <c:pt idx="95">
                  <c:v>93.25335272004277</c:v>
                </c:pt>
                <c:pt idx="96">
                  <c:v>93.290558933263696</c:v>
                </c:pt>
                <c:pt idx="97">
                  <c:v>93.32664473461324</c:v>
                </c:pt>
                <c:pt idx="98">
                  <c:v>93.361511338014566</c:v>
                </c:pt>
                <c:pt idx="99">
                  <c:v>93.395057730840804</c:v>
                </c:pt>
                <c:pt idx="100">
                  <c:v>93.427180902753463</c:v>
                </c:pt>
                <c:pt idx="101">
                  <c:v>93.457776098769628</c:v>
                </c:pt>
                <c:pt idx="102">
                  <c:v>93.486737096232076</c:v>
                </c:pt>
                <c:pt idx="103">
                  <c:v>93.513956505088444</c:v>
                </c:pt>
                <c:pt idx="104">
                  <c:v>93.539326090572501</c:v>
                </c:pt>
                <c:pt idx="105">
                  <c:v>93.562737117082293</c:v>
                </c:pt>
                <c:pt idx="106">
                  <c:v>93.584080711711835</c:v>
                </c:pt>
                <c:pt idx="107">
                  <c:v>93.60324824557749</c:v>
                </c:pt>
                <c:pt idx="108">
                  <c:v>93.620131730746081</c:v>
                </c:pt>
                <c:pt idx="109">
                  <c:v>93.634624230257032</c:v>
                </c:pt>
                <c:pt idx="110">
                  <c:v>93.646620278416378</c:v>
                </c:pt>
                <c:pt idx="111">
                  <c:v>93.656016308265649</c:v>
                </c:pt>
                <c:pt idx="112">
                  <c:v>93.662711082850805</c:v>
                </c:pt>
                <c:pt idx="113">
                  <c:v>93.666606126702675</c:v>
                </c:pt>
                <c:pt idx="114">
                  <c:v>93.667606153744728</c:v>
                </c:pt>
                <c:pt idx="115">
                  <c:v>93.66561948769855</c:v>
                </c:pt>
                <c:pt idx="116">
                  <c:v>93.660558470972745</c:v>
                </c:pt>
                <c:pt idx="117">
                  <c:v>93.652339857973203</c:v>
                </c:pt>
                <c:pt idx="118">
                  <c:v>93.640885188801761</c:v>
                </c:pt>
                <c:pt idx="119">
                  <c:v>93.626121139393859</c:v>
                </c:pt>
                <c:pt idx="120">
                  <c:v>93.607979844282383</c:v>
                </c:pt>
                <c:pt idx="121">
                  <c:v>93.586399188396911</c:v>
                </c:pt>
                <c:pt idx="122">
                  <c:v>93.561323064561506</c:v>
                </c:pt>
                <c:pt idx="123">
                  <c:v>93.532701593695805</c:v>
                </c:pt>
                <c:pt idx="124">
                  <c:v>93.500491305086882</c:v>
                </c:pt>
                <c:pt idx="125">
                  <c:v>93.464655274547056</c:v>
                </c:pt>
                <c:pt idx="126">
                  <c:v>93.425163218713834</c:v>
                </c:pt>
                <c:pt idx="127">
                  <c:v>93.381991544276431</c:v>
                </c:pt>
                <c:pt idx="128">
                  <c:v>93.335123351405542</c:v>
                </c:pt>
                <c:pt idx="129">
                  <c:v>93.284548391226664</c:v>
                </c:pt>
                <c:pt idx="130">
                  <c:v>93.230262977686877</c:v>
                </c:pt>
                <c:pt idx="131">
                  <c:v>93.172269854721648</c:v>
                </c:pt>
                <c:pt idx="132">
                  <c:v>93.110578020125459</c:v>
                </c:pt>
                <c:pt idx="133">
                  <c:v>93.045202508029291</c:v>
                </c:pt>
                <c:pt idx="134">
                  <c:v>92.976164132325621</c:v>
                </c:pt>
                <c:pt idx="135">
                  <c:v>92.903489193818004</c:v>
                </c:pt>
                <c:pt idx="136">
                  <c:v>92.827209154201654</c:v>
                </c:pt>
                <c:pt idx="137">
                  <c:v>92.747360280311838</c:v>
                </c:pt>
                <c:pt idx="138">
                  <c:v>92.66398326231166</c:v>
                </c:pt>
                <c:pt idx="139">
                  <c:v>92.577122809680063</c:v>
                </c:pt>
                <c:pt idx="140">
                  <c:v>92.486827228978882</c:v>
                </c:pt>
                <c:pt idx="141">
                  <c:v>92.393147987442816</c:v>
                </c:pt>
                <c:pt idx="142">
                  <c:v>92.296139266441088</c:v>
                </c:pt>
                <c:pt idx="143">
                  <c:v>92.195857508781515</c:v>
                </c:pt>
                <c:pt idx="144">
                  <c:v>92.092360963739495</c:v>
                </c:pt>
                <c:pt idx="145">
                  <c:v>91.985709233521675</c:v>
                </c:pt>
                <c:pt idx="146">
                  <c:v>91.87596282466555</c:v>
                </c:pt>
                <c:pt idx="147">
                  <c:v>91.763182707648369</c:v>
                </c:pt>
                <c:pt idx="148">
                  <c:v>91.647429887697399</c:v>
                </c:pt>
                <c:pt idx="149">
                  <c:v>91.528764989500303</c:v>
                </c:pt>
                <c:pt idx="150">
                  <c:v>91.407247858202524</c:v>
                </c:pt>
                <c:pt idx="151">
                  <c:v>91.282937178760946</c:v>
                </c:pt>
                <c:pt idx="152">
                  <c:v>91.155890115383542</c:v>
                </c:pt>
                <c:pt idx="153">
                  <c:v>91.026161972473361</c:v>
                </c:pt>
                <c:pt idx="154">
                  <c:v>90.893805878164272</c:v>
                </c:pt>
                <c:pt idx="155">
                  <c:v>90.758872491232594</c:v>
                </c:pt>
                <c:pt idx="156">
                  <c:v>90.621409731878686</c:v>
                </c:pt>
                <c:pt idx="157">
                  <c:v>90.481462536586463</c:v>
                </c:pt>
                <c:pt idx="158">
                  <c:v>90.339072637032558</c:v>
                </c:pt>
                <c:pt idx="159">
                  <c:v>90.194278362767122</c:v>
                </c:pt>
                <c:pt idx="160">
                  <c:v>90.047114467193353</c:v>
                </c:pt>
                <c:pt idx="161">
                  <c:v>89.897611976190561</c:v>
                </c:pt>
                <c:pt idx="162">
                  <c:v>89.745798058560055</c:v>
                </c:pt>
                <c:pt idx="163">
                  <c:v>89.591695917351373</c:v>
                </c:pt>
                <c:pt idx="164">
                  <c:v>89.435324701013073</c:v>
                </c:pt>
                <c:pt idx="165">
                  <c:v>89.276699433226696</c:v>
                </c:pt>
                <c:pt idx="166">
                  <c:v>89.115830960223363</c:v>
                </c:pt>
                <c:pt idx="167">
                  <c:v>88.952725914334749</c:v>
                </c:pt>
                <c:pt idx="168">
                  <c:v>88.787386692512513</c:v>
                </c:pt>
                <c:pt idx="169">
                  <c:v>88.619811448535074</c:v>
                </c:pt>
                <c:pt idx="170">
                  <c:v>88.449994097633294</c:v>
                </c:pt>
                <c:pt idx="171">
                  <c:v>88.277924332287981</c:v>
                </c:pt>
                <c:pt idx="172">
                  <c:v>88.103587647978969</c:v>
                </c:pt>
                <c:pt idx="173">
                  <c:v>87.926965377712961</c:v>
                </c:pt>
                <c:pt idx="174">
                  <c:v>87.748034734203188</c:v>
                </c:pt>
                <c:pt idx="175">
                  <c:v>87.566768858632017</c:v>
                </c:pt>
                <c:pt idx="176">
                  <c:v>87.383136874985738</c:v>
                </c:pt>
                <c:pt idx="177">
                  <c:v>87.197103949020544</c:v>
                </c:pt>
                <c:pt idx="178">
                  <c:v>87.008631350978078</c:v>
                </c:pt>
                <c:pt idx="179">
                  <c:v>86.817676521245502</c:v>
                </c:pt>
                <c:pt idx="180">
                  <c:v>86.624193138216896</c:v>
                </c:pt>
                <c:pt idx="181">
                  <c:v>86.42813118768774</c:v>
                </c:pt>
                <c:pt idx="182">
                  <c:v>86.22943703317236</c:v>
                </c:pt>
                <c:pt idx="183">
                  <c:v>86.028053486614596</c:v>
                </c:pt>
                <c:pt idx="184">
                  <c:v>85.823919879008969</c:v>
                </c:pt>
                <c:pt idx="185">
                  <c:v>85.616972130525852</c:v>
                </c:pt>
                <c:pt idx="186">
                  <c:v>85.407142819782749</c:v>
                </c:pt>
                <c:pt idx="187">
                  <c:v>85.19436125196755</c:v>
                </c:pt>
                <c:pt idx="188">
                  <c:v>84.97855352556455</c:v>
                </c:pt>
                <c:pt idx="189">
                  <c:v>84.759642597495045</c:v>
                </c:pt>
                <c:pt idx="190">
                  <c:v>84.537548346518321</c:v>
                </c:pt>
                <c:pt idx="191">
                  <c:v>84.312187634795052</c:v>
                </c:pt>
                <c:pt idx="192">
                  <c:v>84.083474367549471</c:v>
                </c:pt>
                <c:pt idx="193">
                  <c:v>83.851319550805627</c:v>
                </c:pt>
                <c:pt idx="194">
                  <c:v>83.615631347211291</c:v>
                </c:pt>
                <c:pt idx="195">
                  <c:v>83.376315129995362</c:v>
                </c:pt>
                <c:pt idx="196">
                  <c:v>83.133273535131821</c:v>
                </c:pt>
                <c:pt idx="197">
                  <c:v>82.88640651182051</c:v>
                </c:pt>
                <c:pt idx="198">
                  <c:v>82.635611371409723</c:v>
                </c:pt>
                <c:pt idx="199">
                  <c:v>82.380782834921732</c:v>
                </c:pt>
                <c:pt idx="200">
                  <c:v>82.121813079357253</c:v>
                </c:pt>
                <c:pt idx="201">
                  <c:v>81.858591782980724</c:v>
                </c:pt>
                <c:pt idx="202">
                  <c:v>81.591006169805354</c:v>
                </c:pt>
                <c:pt idx="203">
                  <c:v>81.318941053519097</c:v>
                </c:pt>
                <c:pt idx="204">
                  <c:v>81.042278881106299</c:v>
                </c:pt>
                <c:pt idx="205">
                  <c:v>80.760899776440596</c:v>
                </c:pt>
                <c:pt idx="206">
                  <c:v>80.474681584138253</c:v>
                </c:pt>
                <c:pt idx="207">
                  <c:v>80.183499913975595</c:v>
                </c:pt>
                <c:pt idx="208">
                  <c:v>79.887228186191365</c:v>
                </c:pt>
                <c:pt idx="209">
                  <c:v>79.585737678008087</c:v>
                </c:pt>
                <c:pt idx="210">
                  <c:v>79.278897571716783</c:v>
                </c:pt>
                <c:pt idx="211">
                  <c:v>78.966575004688536</c:v>
                </c:pt>
                <c:pt idx="212">
                  <c:v>78.648635121683512</c:v>
                </c:pt>
                <c:pt idx="213">
                  <c:v>78.324941129843367</c:v>
                </c:pt>
                <c:pt idx="214">
                  <c:v>77.995354356765404</c:v>
                </c:pt>
                <c:pt idx="215">
                  <c:v>77.659734312064984</c:v>
                </c:pt>
                <c:pt idx="216">
                  <c:v>77.317938752847695</c:v>
                </c:pt>
                <c:pt idx="217">
                  <c:v>76.969823753522292</c:v>
                </c:pt>
                <c:pt idx="218">
                  <c:v>76.615243780393243</c:v>
                </c:pt>
                <c:pt idx="219">
                  <c:v>76.254051771484527</c:v>
                </c:pt>
                <c:pt idx="220">
                  <c:v>75.886099222052081</c:v>
                </c:pt>
                <c:pt idx="221">
                  <c:v>75.511236276252262</c:v>
                </c:pt>
                <c:pt idx="222">
                  <c:v>75.129311825439174</c:v>
                </c:pt>
                <c:pt idx="223">
                  <c:v>74.740173613567265</c:v>
                </c:pt>
                <c:pt idx="224">
                  <c:v>74.343668350185581</c:v>
                </c:pt>
                <c:pt idx="225">
                  <c:v>73.939641831503224</c:v>
                </c:pt>
                <c:pt idx="226">
                  <c:v>73.527939070013218</c:v>
                </c:pt>
                <c:pt idx="227">
                  <c:v>73.108404433158185</c:v>
                </c:pt>
                <c:pt idx="228">
                  <c:v>72.680881791513499</c:v>
                </c:pt>
                <c:pt idx="229">
                  <c:v>72.245214676958767</c:v>
                </c:pt>
                <c:pt idx="230">
                  <c:v>71.801246451301054</c:v>
                </c:pt>
                <c:pt idx="231">
                  <c:v>71.34882048578902</c:v>
                </c:pt>
                <c:pt idx="232">
                  <c:v>70.88778035195169</c:v>
                </c:pt>
                <c:pt idx="233">
                  <c:v>70.417970024162486</c:v>
                </c:pt>
                <c:pt idx="234">
                  <c:v>69.939234094306812</c:v>
                </c:pt>
                <c:pt idx="235">
                  <c:v>69.451417998899359</c:v>
                </c:pt>
                <c:pt idx="236">
                  <c:v>68.954368258953082</c:v>
                </c:pt>
                <c:pt idx="237">
                  <c:v>68.447932732868054</c:v>
                </c:pt>
                <c:pt idx="238">
                  <c:v>67.931960882543564</c:v>
                </c:pt>
                <c:pt idx="239">
                  <c:v>67.40630405287321</c:v>
                </c:pt>
                <c:pt idx="240">
                  <c:v>66.8708157647051</c:v>
                </c:pt>
                <c:pt idx="241">
                  <c:v>66.325352021286477</c:v>
                </c:pt>
                <c:pt idx="242">
                  <c:v>65.769771628123607</c:v>
                </c:pt>
                <c:pt idx="243">
                  <c:v>65.203936526105934</c:v>
                </c:pt>
                <c:pt idx="244">
                  <c:v>64.627712137638227</c:v>
                </c:pt>
                <c:pt idx="245">
                  <c:v>64.04096772542789</c:v>
                </c:pt>
                <c:pt idx="246">
                  <c:v>63.443576763453898</c:v>
                </c:pt>
                <c:pt idx="247">
                  <c:v>62.835417319524879</c:v>
                </c:pt>
                <c:pt idx="248">
                  <c:v>62.216372448703929</c:v>
                </c:pt>
                <c:pt idx="249">
                  <c:v>61.586330596739998</c:v>
                </c:pt>
                <c:pt idx="250">
                  <c:v>60.945186012501921</c:v>
                </c:pt>
                <c:pt idx="251">
                  <c:v>60.29283916826099</c:v>
                </c:pt>
                <c:pt idx="252">
                  <c:v>59.629197186516961</c:v>
                </c:pt>
                <c:pt idx="253">
                  <c:v>58.954174271893585</c:v>
                </c:pt>
                <c:pt idx="254">
                  <c:v>58.267692146486191</c:v>
                </c:pt>
                <c:pt idx="255">
                  <c:v>57.569680486864264</c:v>
                </c:pt>
                <c:pt idx="256">
                  <c:v>56.860077360789859</c:v>
                </c:pt>
                <c:pt idx="257">
                  <c:v>56.138829661539418</c:v>
                </c:pt>
                <c:pt idx="258">
                  <c:v>55.405893537585627</c:v>
                </c:pt>
                <c:pt idx="259">
                  <c:v>54.661234815237592</c:v>
                </c:pt>
                <c:pt idx="260">
                  <c:v>53.90482941171939</c:v>
                </c:pt>
                <c:pt idx="261">
                  <c:v>53.136663736046749</c:v>
                </c:pt>
                <c:pt idx="262">
                  <c:v>52.35673507496486</c:v>
                </c:pt>
                <c:pt idx="263">
                  <c:v>51.565051961130557</c:v>
                </c:pt>
                <c:pt idx="264">
                  <c:v>50.761634520672558</c:v>
                </c:pt>
                <c:pt idx="265">
                  <c:v>49.946514797230918</c:v>
                </c:pt>
                <c:pt idx="266">
                  <c:v>49.119737049581381</c:v>
                </c:pt>
                <c:pt idx="267">
                  <c:v>48.281358019982271</c:v>
                </c:pt>
                <c:pt idx="268">
                  <c:v>47.431447170453566</c:v>
                </c:pt>
                <c:pt idx="269">
                  <c:v>46.570086884295272</c:v>
                </c:pt>
                <c:pt idx="270">
                  <c:v>45.69737263030126</c:v>
                </c:pt>
                <c:pt idx="271">
                  <c:v>44.813413087301626</c:v>
                </c:pt>
                <c:pt idx="272">
                  <c:v>43.9183302268872</c:v>
                </c:pt>
                <c:pt idx="273">
                  <c:v>43.012259352424401</c:v>
                </c:pt>
                <c:pt idx="274">
                  <c:v>42.095349092768778</c:v>
                </c:pt>
                <c:pt idx="275">
                  <c:v>41.167761349409943</c:v>
                </c:pt>
                <c:pt idx="276">
                  <c:v>40.229671196140472</c:v>
                </c:pt>
                <c:pt idx="277">
                  <c:v>39.281266730732376</c:v>
                </c:pt>
                <c:pt idx="278">
                  <c:v>38.322748878511916</c:v>
                </c:pt>
                <c:pt idx="279">
                  <c:v>37.354331148152433</c:v>
                </c:pt>
                <c:pt idx="280">
                  <c:v>36.376239340442282</c:v>
                </c:pt>
                <c:pt idx="281">
                  <c:v>35.388711211223296</c:v>
                </c:pt>
                <c:pt idx="282">
                  <c:v>34.391996090132984</c:v>
                </c:pt>
                <c:pt idx="283">
                  <c:v>33.386354457207055</c:v>
                </c:pt>
                <c:pt idx="284">
                  <c:v>32.372057479800006</c:v>
                </c:pt>
                <c:pt idx="285">
                  <c:v>31.349386512656409</c:v>
                </c:pt>
                <c:pt idx="286">
                  <c:v>30.318632564298376</c:v>
                </c:pt>
                <c:pt idx="287">
                  <c:v>29.280095733188926</c:v>
                </c:pt>
                <c:pt idx="288">
                  <c:v>28.234084617366953</c:v>
                </c:pt>
                <c:pt idx="289">
                  <c:v>27.180915701432578</c:v>
                </c:pt>
                <c:pt idx="290">
                  <c:v>26.120912724874017</c:v>
                </c:pt>
                <c:pt idx="291">
                  <c:v>25.054406035784755</c:v>
                </c:pt>
                <c:pt idx="292">
                  <c:v>23.981731933990527</c:v>
                </c:pt>
                <c:pt idx="293">
                  <c:v>22.903232007520582</c:v>
                </c:pt>
                <c:pt idx="294">
                  <c:v>21.819252466196556</c:v>
                </c:pt>
                <c:pt idx="295">
                  <c:v>20.730143475878737</c:v>
                </c:pt>
                <c:pt idx="296">
                  <c:v>19.636258496621387</c:v>
                </c:pt>
                <c:pt idx="297">
                  <c:v>18.53795362763239</c:v>
                </c:pt>
                <c:pt idx="298">
                  <c:v>17.43558696152915</c:v>
                </c:pt>
                <c:pt idx="299">
                  <c:v>16.329517949940406</c:v>
                </c:pt>
                <c:pt idx="300">
                  <c:v>15.220106782014224</c:v>
                </c:pt>
                <c:pt idx="301">
                  <c:v>14.107713776893752</c:v>
                </c:pt>
                <c:pt idx="302">
                  <c:v>12.992698790706012</c:v>
                </c:pt>
                <c:pt idx="303">
                  <c:v>11.875420638087823</c:v>
                </c:pt>
                <c:pt idx="304">
                  <c:v>10.756236527772074</c:v>
                </c:pt>
                <c:pt idx="305">
                  <c:v>9.6355015112778215</c:v>
                </c:pt>
                <c:pt idx="306">
                  <c:v>8.513567943300739</c:v>
                </c:pt>
                <c:pt idx="307">
                  <c:v>7.3907849520000832</c:v>
                </c:pt>
                <c:pt idx="308">
                  <c:v>6.2674979170479705</c:v>
                </c:pt>
                <c:pt idx="309">
                  <c:v>5.1440479530212917</c:v>
                </c:pt>
                <c:pt idx="310">
                  <c:v>4.0207713955263005</c:v>
                </c:pt>
                <c:pt idx="311">
                  <c:v>2.8979992873279885</c:v>
                </c:pt>
                <c:pt idx="312">
                  <c:v>1.776056861718843</c:v>
                </c:pt>
                <c:pt idx="313">
                  <c:v>0.65526302042798701</c:v>
                </c:pt>
                <c:pt idx="314">
                  <c:v>-0.46407019648087117</c:v>
                </c:pt>
                <c:pt idx="315">
                  <c:v>-1.5816381510390158</c:v>
                </c:pt>
                <c:pt idx="316">
                  <c:v>-2.6971441601179902</c:v>
                </c:pt>
                <c:pt idx="317">
                  <c:v>-3.8103000620631016</c:v>
                </c:pt>
                <c:pt idx="318">
                  <c:v>-4.9208267983064289</c:v>
                </c:pt>
                <c:pt idx="319">
                  <c:v>-6.0284550104954562</c:v>
                </c:pt>
                <c:pt idx="320">
                  <c:v>-7.1329256530504965</c:v>
                </c:pt>
                <c:pt idx="321">
                  <c:v>-8.2339906204061606</c:v>
                </c:pt>
                <c:pt idx="322">
                  <c:v>-9.3314133874847265</c:v>
                </c:pt>
                <c:pt idx="323">
                  <c:v>-10.424969661231136</c:v>
                </c:pt>
                <c:pt idx="324">
                  <c:v>-11.514448040294402</c:v>
                </c:pt>
                <c:pt idx="325">
                  <c:v>-12.599650679216261</c:v>
                </c:pt>
                <c:pt idx="326">
                  <c:v>-13.680393952765931</c:v>
                </c:pt>
                <c:pt idx="327">
                  <c:v>-14.756509115390239</c:v>
                </c:pt>
                <c:pt idx="328">
                  <c:v>-15.827842950099539</c:v>
                </c:pt>
                <c:pt idx="329">
                  <c:v>-16.894258400547777</c:v>
                </c:pt>
                <c:pt idx="330">
                  <c:v>-17.9556351795414</c:v>
                </c:pt>
                <c:pt idx="331">
                  <c:v>-19.011870346815776</c:v>
                </c:pt>
                <c:pt idx="332">
                  <c:v>-20.062878848565202</c:v>
                </c:pt>
                <c:pt idx="333">
                  <c:v>-21.108594010996235</c:v>
                </c:pt>
                <c:pt idx="334">
                  <c:v>-22.148967980049523</c:v>
                </c:pt>
                <c:pt idx="335">
                  <c:v>-23.183972099430132</c:v>
                </c:pt>
                <c:pt idx="336">
                  <c:v>-24.213597219184546</c:v>
                </c:pt>
                <c:pt idx="337">
                  <c:v>-25.237853927297895</c:v>
                </c:pt>
                <c:pt idx="338">
                  <c:v>-26.256772697119825</c:v>
                </c:pt>
                <c:pt idx="339">
                  <c:v>-27.270403943875682</c:v>
                </c:pt>
                <c:pt idx="340">
                  <c:v>-28.278817984100193</c:v>
                </c:pt>
                <c:pt idx="341">
                  <c:v>-29.282104892485211</c:v>
                </c:pt>
                <c:pt idx="342">
                  <c:v>-30.280374251405281</c:v>
                </c:pt>
                <c:pt idx="343">
                  <c:v>-31.273754789242403</c:v>
                </c:pt>
                <c:pt idx="344">
                  <c:v>-32.262393904563346</c:v>
                </c:pt>
                <c:pt idx="345">
                  <c:v>-33.246457074208074</c:v>
                </c:pt>
                <c:pt idx="346">
                  <c:v>-34.226127144401197</c:v>
                </c:pt>
                <c:pt idx="347">
                  <c:v>-35.201603505105744</c:v>
                </c:pt>
                <c:pt idx="348">
                  <c:v>-36.173101148977153</c:v>
                </c:pt>
                <c:pt idx="349">
                  <c:v>-37.140849617409465</c:v>
                </c:pt>
                <c:pt idx="350">
                  <c:v>-38.105091837343011</c:v>
                </c:pt>
                <c:pt idx="351">
                  <c:v>-39.066082853624572</c:v>
                </c:pt>
                <c:pt idx="352">
                  <c:v>-40.024088462846152</c:v>
                </c:pt>
                <c:pt idx="353">
                  <c:v>-40.979383755666859</c:v>
                </c:pt>
                <c:pt idx="354">
                  <c:v>-41.932251575654057</c:v>
                </c:pt>
                <c:pt idx="355">
                  <c:v>-42.882980903652125</c:v>
                </c:pt>
                <c:pt idx="356">
                  <c:v>-43.831865177587545</c:v>
                </c:pt>
                <c:pt idx="357">
                  <c:v>-44.779200558424833</c:v>
                </c:pt>
                <c:pt idx="358">
                  <c:v>-45.725284153720246</c:v>
                </c:pt>
                <c:pt idx="359">
                  <c:v>-46.67041221082345</c:v>
                </c:pt>
                <c:pt idx="360">
                  <c:v>-47.614878292302535</c:v>
                </c:pt>
                <c:pt idx="361">
                  <c:v>-48.558971446548433</c:v>
                </c:pt>
                <c:pt idx="362">
                  <c:v>-49.502974386801064</c:v>
                </c:pt>
                <c:pt idx="363">
                  <c:v>-50.44716169198837</c:v>
                </c:pt>
                <c:pt idx="364">
                  <c:v>-51.391798042797703</c:v>
                </c:pt>
                <c:pt idx="365">
                  <c:v>-52.337136506315765</c:v>
                </c:pt>
                <c:pt idx="366">
                  <c:v>-53.283416882337775</c:v>
                </c:pt>
                <c:pt idx="367">
                  <c:v>-54.230864124127351</c:v>
                </c:pt>
                <c:pt idx="368">
                  <c:v>-55.179686845948787</c:v>
                </c:pt>
                <c:pt idx="369">
                  <c:v>-56.130075929113218</c:v>
                </c:pt>
                <c:pt idx="370">
                  <c:v>-57.082203237627425</c:v>
                </c:pt>
                <c:pt idx="371">
                  <c:v>-58.036220453743915</c:v>
                </c:pt>
                <c:pt idx="372">
                  <c:v>-58.992258042847354</c:v>
                </c:pt>
                <c:pt idx="373">
                  <c:v>-59.950424356160902</c:v>
                </c:pt>
                <c:pt idx="374">
                  <c:v>-60.91080487872464</c:v>
                </c:pt>
                <c:pt idx="375">
                  <c:v>-61.873461628999699</c:v>
                </c:pt>
                <c:pt idx="376">
                  <c:v>-62.838432715299938</c:v>
                </c:pt>
                <c:pt idx="377">
                  <c:v>-63.80573205303979</c:v>
                </c:pt>
                <c:pt idx="378">
                  <c:v>-64.775349245555702</c:v>
                </c:pt>
                <c:pt idx="379">
                  <c:v>-65.747249629971876</c:v>
                </c:pt>
                <c:pt idx="380">
                  <c:v>-66.72137448830243</c:v>
                </c:pt>
                <c:pt idx="381">
                  <c:v>-67.697641422672405</c:v>
                </c:pt>
                <c:pt idx="382">
                  <c:v>-68.67594489225155</c:v>
                </c:pt>
                <c:pt idx="383">
                  <c:v>-69.656156908199421</c:v>
                </c:pt>
                <c:pt idx="384">
                  <c:v>-70.638127881660992</c:v>
                </c:pt>
                <c:pt idx="385">
                  <c:v>-71.621687618620925</c:v>
                </c:pt>
                <c:pt idx="386">
                  <c:v>-72.606646454227672</c:v>
                </c:pt>
                <c:pt idx="387">
                  <c:v>-73.592796518068397</c:v>
                </c:pt>
                <c:pt idx="388">
                  <c:v>-74.579913120789953</c:v>
                </c:pt>
                <c:pt idx="389">
                  <c:v>-75.567756251455876</c:v>
                </c:pt>
                <c:pt idx="390">
                  <c:v>-76.556072174097906</c:v>
                </c:pt>
                <c:pt idx="391">
                  <c:v>-77.544595111087531</c:v>
                </c:pt>
                <c:pt idx="392">
                  <c:v>-78.533049000192605</c:v>
                </c:pt>
                <c:pt idx="393">
                  <c:v>-79.521149311549806</c:v>
                </c:pt>
                <c:pt idx="394">
                  <c:v>-80.508604910252117</c:v>
                </c:pt>
                <c:pt idx="395">
                  <c:v>-81.495119949823874</c:v>
                </c:pt>
                <c:pt idx="396">
                  <c:v>-82.480395781564951</c:v>
                </c:pt>
                <c:pt idx="397">
                  <c:v>-83.464132864579256</c:v>
                </c:pt>
                <c:pt idx="398">
                  <c:v>-84.446032661253099</c:v>
                </c:pt>
                <c:pt idx="399">
                  <c:v>-85.425799503046377</c:v>
                </c:pt>
                <c:pt idx="400">
                  <c:v>-86.40314241168393</c:v>
                </c:pt>
                <c:pt idx="401">
                  <c:v>-87.377776861194462</c:v>
                </c:pt>
                <c:pt idx="402">
                  <c:v>-88.349426466731842</c:v>
                </c:pt>
                <c:pt idx="403">
                  <c:v>-89.317824586745274</c:v>
                </c:pt>
                <c:pt idx="404">
                  <c:v>-90.282715825807585</c:v>
                </c:pt>
                <c:pt idx="405">
                  <c:v>-91.243857426283853</c:v>
                </c:pt>
                <c:pt idx="406">
                  <c:v>-92.20102053801503</c:v>
                </c:pt>
                <c:pt idx="407">
                  <c:v>-93.153991356279377</c:v>
                </c:pt>
                <c:pt idx="408">
                  <c:v>-94.102572119490304</c:v>
                </c:pt>
                <c:pt idx="409">
                  <c:v>-95.0465819593703</c:v>
                </c:pt>
                <c:pt idx="410">
                  <c:v>-95.985857597686461</c:v>
                </c:pt>
                <c:pt idx="411">
                  <c:v>-96.920253885061541</c:v>
                </c:pt>
                <c:pt idx="412">
                  <c:v>-97.849644178825486</c:v>
                </c:pt>
                <c:pt idx="413">
                  <c:v>-98.773920558373419</c:v>
                </c:pt>
                <c:pt idx="414">
                  <c:v>-99.69299387800443</c:v>
                </c:pt>
                <c:pt idx="415">
                  <c:v>-100.60679365872659</c:v>
                </c:pt>
                <c:pt idx="416">
                  <c:v>-101.51526782200537</c:v>
                </c:pt>
                <c:pt idx="417">
                  <c:v>-102.41838226988905</c:v>
                </c:pt>
                <c:pt idx="418">
                  <c:v>-103.31612031735938</c:v>
                </c:pt>
                <c:pt idx="419">
                  <c:v>-104.20848198408866</c:v>
                </c:pt>
                <c:pt idx="420">
                  <c:v>-105.09548315405299</c:v>
                </c:pt>
                <c:pt idx="421">
                  <c:v>-105.97715461260819</c:v>
                </c:pt>
                <c:pt idx="422">
                  <c:v>-106.85354097169682</c:v>
                </c:pt>
                <c:pt idx="423">
                  <c:v>-107.72469949478462</c:v>
                </c:pt>
                <c:pt idx="424">
                  <c:v>-108.59069883393195</c:v>
                </c:pt>
                <c:pt idx="425">
                  <c:v>-109.45161769207313</c:v>
                </c:pt>
                <c:pt idx="426">
                  <c:v>-110.3075434241006</c:v>
                </c:pt>
                <c:pt idx="427">
                  <c:v>-111.15857059071114</c:v>
                </c:pt>
                <c:pt idx="428">
                  <c:v>-112.00479947921548</c:v>
                </c:pt>
                <c:pt idx="429">
                  <c:v>-112.84633460556584</c:v>
                </c:pt>
                <c:pt idx="430">
                  <c:v>-113.6832832117792</c:v>
                </c:pt>
                <c:pt idx="431">
                  <c:v>-114.51575377271649</c:v>
                </c:pt>
                <c:pt idx="432">
                  <c:v>-115.3438545258024</c:v>
                </c:pt>
                <c:pt idx="433">
                  <c:v>-116.16769203677809</c:v>
                </c:pt>
                <c:pt idx="434">
                  <c:v>-116.98736981394107</c:v>
                </c:pt>
                <c:pt idx="435">
                  <c:v>-117.80298698259527</c:v>
                </c:pt>
                <c:pt idx="436">
                  <c:v>-118.61463703058354</c:v>
                </c:pt>
                <c:pt idx="437">
                  <c:v>-119.42240663482045</c:v>
                </c:pt>
                <c:pt idx="438">
                  <c:v>-120.22637457774599</c:v>
                </c:pt>
                <c:pt idx="439">
                  <c:v>-121.02661076149958</c:v>
                </c:pt>
                <c:pt idx="440">
                  <c:v>-121.82317532649621</c:v>
                </c:pt>
                <c:pt idx="441">
                  <c:v>-122.61611787987964</c:v>
                </c:pt>
                <c:pt idx="442">
                  <c:v>-123.4054768381279</c:v>
                </c:pt>
                <c:pt idx="443">
                  <c:v>-124.19127888685591</c:v>
                </c:pt>
                <c:pt idx="444">
                  <c:v>-124.97353855963036</c:v>
                </c:pt>
                <c:pt idx="445">
                  <c:v>-125.75225793641476</c:v>
                </c:pt>
                <c:pt idx="446">
                  <c:v>-126.52742646106063</c:v>
                </c:pt>
                <c:pt idx="447">
                  <c:v>-127.29902087613121</c:v>
                </c:pt>
                <c:pt idx="448">
                  <c:v>-128.0670052722358</c:v>
                </c:pt>
                <c:pt idx="449">
                  <c:v>-128.83133124804169</c:v>
                </c:pt>
                <c:pt idx="450">
                  <c:v>-129.59193817613948</c:v>
                </c:pt>
                <c:pt idx="451">
                  <c:v>-130.34875356909222</c:v>
                </c:pt>
                <c:pt idx="452">
                  <c:v>-131.10169353917655</c:v>
                </c:pt>
                <c:pt idx="453">
                  <c:v>-131.8506633446583</c:v>
                </c:pt>
                <c:pt idx="454">
                  <c:v>-132.59555801482071</c:v>
                </c:pt>
                <c:pt idx="455">
                  <c:v>-133.33626304550518</c:v>
                </c:pt>
                <c:pt idx="456">
                  <c:v>-134.07265515651457</c:v>
                </c:pt>
                <c:pt idx="457">
                  <c:v>-134.80460310198194</c:v>
                </c:pt>
                <c:pt idx="458">
                  <c:v>-135.5319685246248</c:v>
                </c:pt>
                <c:pt idx="459">
                  <c:v>-136.25460684476604</c:v>
                </c:pt>
                <c:pt idx="460">
                  <c:v>-136.97236817503685</c:v>
                </c:pt>
                <c:pt idx="461">
                  <c:v>-137.68509825183773</c:v>
                </c:pt>
                <c:pt idx="462">
                  <c:v>-138.39263937486578</c:v>
                </c:pt>
                <c:pt idx="463">
                  <c:v>-139.09483134635437</c:v>
                </c:pt>
                <c:pt idx="464">
                  <c:v>-139.79151240207042</c:v>
                </c:pt>
                <c:pt idx="465">
                  <c:v>-140.48252012660359</c:v>
                </c:pt>
                <c:pt idx="466">
                  <c:v>-141.16769234600696</c:v>
                </c:pt>
                <c:pt idx="467">
                  <c:v>-141.8468679914518</c:v>
                </c:pt>
                <c:pt idx="468">
                  <c:v>-142.51988792816974</c:v>
                </c:pt>
                <c:pt idx="469">
                  <c:v>-143.1865957446345</c:v>
                </c:pt>
                <c:pt idx="470">
                  <c:v>-143.84683849759068</c:v>
                </c:pt>
                <c:pt idx="471">
                  <c:v>-144.50046740923781</c:v>
                </c:pt>
                <c:pt idx="472">
                  <c:v>-145.14733851354436</c:v>
                </c:pt>
                <c:pt idx="473">
                  <c:v>-145.78731324936285</c:v>
                </c:pt>
                <c:pt idx="474">
                  <c:v>-146.4202589986445</c:v>
                </c:pt>
                <c:pt idx="475">
                  <c:v>-147.04604956870082</c:v>
                </c:pt>
                <c:pt idx="476">
                  <c:v>-147.66456561804276</c:v>
                </c:pt>
                <c:pt idx="477">
                  <c:v>-148.27569502588838</c:v>
                </c:pt>
                <c:pt idx="478">
                  <c:v>-148.87933320594493</c:v>
                </c:pt>
                <c:pt idx="479">
                  <c:v>-149.47538336553666</c:v>
                </c:pt>
                <c:pt idx="480">
                  <c:v>-150.06375671156806</c:v>
                </c:pt>
                <c:pt idx="481">
                  <c:v>-150.64437260518432</c:v>
                </c:pt>
                <c:pt idx="482">
                  <c:v>-151.21715866730369</c:v>
                </c:pt>
                <c:pt idx="483">
                  <c:v>-151.78205083746474</c:v>
                </c:pt>
                <c:pt idx="484">
                  <c:v>-152.33899338865677</c:v>
                </c:pt>
                <c:pt idx="485">
                  <c:v>-152.88793890096028</c:v>
                </c:pt>
                <c:pt idx="486">
                  <c:v>-153.42884819695701</c:v>
                </c:pt>
                <c:pt idx="487">
                  <c:v>-153.96169024195368</c:v>
                </c:pt>
                <c:pt idx="488">
                  <c:v>-154.4864420120991</c:v>
                </c:pt>
                <c:pt idx="489">
                  <c:v>-155.0030883334899</c:v>
                </c:pt>
                <c:pt idx="490">
                  <c:v>-155.51162169532887</c:v>
                </c:pt>
                <c:pt idx="491">
                  <c:v>-156.01204204015278</c:v>
                </c:pt>
                <c:pt idx="492">
                  <c:v>-156.50435653405899</c:v>
                </c:pt>
                <c:pt idx="493">
                  <c:v>-156.98857931977247</c:v>
                </c:pt>
                <c:pt idx="494">
                  <c:v>-157.46473125526072</c:v>
                </c:pt>
                <c:pt idx="495">
                  <c:v>-157.93283964049391</c:v>
                </c:pt>
                <c:pt idx="496">
                  <c:v>-158.39293793477751</c:v>
                </c:pt>
                <c:pt idx="497">
                  <c:v>-158.84506546695678</c:v>
                </c:pt>
                <c:pt idx="498">
                  <c:v>-159.28926714062055</c:v>
                </c:pt>
                <c:pt idx="499">
                  <c:v>-159.72559313627363</c:v>
                </c:pt>
                <c:pt idx="500">
                  <c:v>-160.15409861229216</c:v>
                </c:pt>
                <c:pt idx="501">
                  <c:v>-160.57484340630404</c:v>
                </c:pt>
                <c:pt idx="502">
                  <c:v>-160.98789173848729</c:v>
                </c:pt>
                <c:pt idx="503">
                  <c:v>-161.39331191812482</c:v>
                </c:pt>
                <c:pt idx="504">
                  <c:v>-161.7911760545953</c:v>
                </c:pt>
                <c:pt idx="505">
                  <c:v>-162.18155977385075</c:v>
                </c:pt>
                <c:pt idx="506">
                  <c:v>-162.56454194128537</c:v>
                </c:pt>
                <c:pt idx="507">
                  <c:v>-162.94020439177274</c:v>
                </c:pt>
                <c:pt idx="508">
                  <c:v>-163.30863166753542</c:v>
                </c:pt>
                <c:pt idx="509">
                  <c:v>-163.66991076438677</c:v>
                </c:pt>
                <c:pt idx="510">
                  <c:v>-164.02413088678995</c:v>
                </c:pt>
                <c:pt idx="511">
                  <c:v>-164.37138321207874</c:v>
                </c:pt>
                <c:pt idx="512">
                  <c:v>-164.71176066409663</c:v>
                </c:pt>
                <c:pt idx="513">
                  <c:v>-165.04535769643172</c:v>
                </c:pt>
                <c:pt idx="514">
                  <c:v>-165.37227008535268</c:v>
                </c:pt>
                <c:pt idx="515">
                  <c:v>-165.69259473248576</c:v>
                </c:pt>
                <c:pt idx="516">
                  <c:v>-166.00642947721269</c:v>
                </c:pt>
                <c:pt idx="517">
                  <c:v>-166.3138729187244</c:v>
                </c:pt>
                <c:pt idx="518">
                  <c:v>-166.61502424761122</c:v>
                </c:pt>
                <c:pt idx="519">
                  <c:v>-166.90998308684163</c:v>
                </c:pt>
                <c:pt idx="520">
                  <c:v>-167.19884934193848</c:v>
                </c:pt>
                <c:pt idx="521">
                  <c:v>-167.48172306014089</c:v>
                </c:pt>
                <c:pt idx="522">
                  <c:v>-167.75870429831065</c:v>
                </c:pt>
                <c:pt idx="523">
                  <c:v>-168.02989299932628</c:v>
                </c:pt>
                <c:pt idx="524">
                  <c:v>-168.29538887668963</c:v>
                </c:pt>
                <c:pt idx="525">
                  <c:v>-168.5552913070604</c:v>
                </c:pt>
                <c:pt idx="526">
                  <c:v>-168.80969923042022</c:v>
                </c:pt>
                <c:pt idx="527">
                  <c:v>-169.05871105756975</c:v>
                </c:pt>
                <c:pt idx="528">
                  <c:v>-169.30242458464912</c:v>
                </c:pt>
                <c:pt idx="529">
                  <c:v>-169.54093691437961</c:v>
                </c:pt>
                <c:pt idx="530">
                  <c:v>-169.77434438371685</c:v>
                </c:pt>
                <c:pt idx="531">
                  <c:v>-170.00274249761648</c:v>
                </c:pt>
                <c:pt idx="532">
                  <c:v>-170.22622586860703</c:v>
                </c:pt>
                <c:pt idx="533">
                  <c:v>-170.44488816188212</c:v>
                </c:pt>
                <c:pt idx="534">
                  <c:v>-170.65882204561578</c:v>
                </c:pt>
                <c:pt idx="535">
                  <c:v>-170.86811914622575</c:v>
                </c:pt>
                <c:pt idx="536">
                  <c:v>-171.07287000830496</c:v>
                </c:pt>
                <c:pt idx="537">
                  <c:v>-171.27316405896028</c:v>
                </c:pt>
                <c:pt idx="538">
                  <c:v>-171.46908957629688</c:v>
                </c:pt>
                <c:pt idx="539">
                  <c:v>-171.66073366180314</c:v>
                </c:pt>
                <c:pt idx="540">
                  <c:v>-171.8481822163956</c:v>
                </c:pt>
                <c:pt idx="541">
                  <c:v>-172.03151991989489</c:v>
                </c:pt>
              </c:numCache>
            </c:numRef>
          </c:yVal>
          <c:smooth val="1"/>
          <c:extLst>
            <c:ext xmlns:c16="http://schemas.microsoft.com/office/drawing/2014/chart" uri="{C3380CC4-5D6E-409C-BE32-E72D297353CC}">
              <c16:uniqueId val="{00000001-ACF8-49D1-9313-CAF9B0C485FE}"/>
            </c:ext>
          </c:extLst>
        </c:ser>
        <c:dLbls>
          <c:showLegendKey val="0"/>
          <c:showVal val="0"/>
          <c:showCatName val="0"/>
          <c:showSerName val="0"/>
          <c:showPercent val="0"/>
          <c:showBubbleSize val="0"/>
        </c:dLbls>
        <c:axId val="555537920"/>
        <c:axId val="555536384"/>
      </c:scatterChart>
      <c:valAx>
        <c:axId val="555528192"/>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555530112"/>
        <c:crosses val="autoZero"/>
        <c:crossBetween val="midCat"/>
      </c:valAx>
      <c:valAx>
        <c:axId val="555530112"/>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555528192"/>
        <c:crosses val="autoZero"/>
        <c:crossBetween val="midCat"/>
        <c:majorUnit val="20"/>
        <c:minorUnit val="10"/>
      </c:valAx>
      <c:valAx>
        <c:axId val="555536384"/>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555537920"/>
        <c:crosses val="max"/>
        <c:crossBetween val="midCat"/>
        <c:majorUnit val="90"/>
        <c:minorUnit val="45"/>
      </c:valAx>
      <c:valAx>
        <c:axId val="555537920"/>
        <c:scaling>
          <c:logBase val="10"/>
          <c:orientation val="minMax"/>
        </c:scaling>
        <c:delete val="1"/>
        <c:axPos val="b"/>
        <c:numFmt formatCode="0.00" sourceLinked="1"/>
        <c:majorTickMark val="out"/>
        <c:minorTickMark val="none"/>
        <c:tickLblPos val="nextTo"/>
        <c:crossAx val="55553638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Eff_vs_IOUT!$AW$7:$AW$157</c:f>
              <c:numCache>
                <c:formatCode>General</c:formatCode>
                <c:ptCount val="151"/>
                <c:pt idx="0">
                  <c:v>0</c:v>
                </c:pt>
                <c:pt idx="1">
                  <c:v>84.98153577002077</c:v>
                </c:pt>
                <c:pt idx="2">
                  <c:v>89.33113371091541</c:v>
                </c:pt>
                <c:pt idx="3">
                  <c:v>90.805514247076587</c:v>
                </c:pt>
                <c:pt idx="4">
                  <c:v>91.515173396739272</c:v>
                </c:pt>
                <c:pt idx="5">
                  <c:v>91.91526106187375</c:v>
                </c:pt>
                <c:pt idx="6">
                  <c:v>92.161341681134985</c:v>
                </c:pt>
                <c:pt idx="7">
                  <c:v>92.320637901372407</c:v>
                </c:pt>
                <c:pt idx="8">
                  <c:v>92.426757176335244</c:v>
                </c:pt>
                <c:pt idx="9">
                  <c:v>92.498273701556371</c:v>
                </c:pt>
                <c:pt idx="10">
                  <c:v>92.546235731054111</c:v>
                </c:pt>
                <c:pt idx="11">
                  <c:v>92.577594996024928</c:v>
                </c:pt>
                <c:pt idx="12">
                  <c:v>92.596924272816366</c:v>
                </c:pt>
                <c:pt idx="13">
                  <c:v>92.607341593725792</c:v>
                </c:pt>
                <c:pt idx="14">
                  <c:v>92.611037072567441</c:v>
                </c:pt>
                <c:pt idx="15">
                  <c:v>92.609587786198659</c:v>
                </c:pt>
                <c:pt idx="16">
                  <c:v>92.60415359716221</c:v>
                </c:pt>
                <c:pt idx="17">
                  <c:v>92.792656513457331</c:v>
                </c:pt>
                <c:pt idx="18">
                  <c:v>93.000231964579982</c:v>
                </c:pt>
                <c:pt idx="19">
                  <c:v>93.183764101450024</c:v>
                </c:pt>
                <c:pt idx="20">
                  <c:v>93.346720625387292</c:v>
                </c:pt>
                <c:pt idx="21">
                  <c:v>93.491933464053503</c:v>
                </c:pt>
                <c:pt idx="22">
                  <c:v>93.6217380896544</c:v>
                </c:pt>
                <c:pt idx="23">
                  <c:v>93.738077740451516</c:v>
                </c:pt>
                <c:pt idx="24">
                  <c:v>93.842582444992232</c:v>
                </c:pt>
                <c:pt idx="25">
                  <c:v>93.936629680943184</c:v>
                </c:pt>
                <c:pt idx="26">
                  <c:v>94.0213914623601</c:v>
                </c:pt>
                <c:pt idx="27">
                  <c:v>94.097871270566117</c:v>
                </c:pt>
                <c:pt idx="28">
                  <c:v>94.16693329572243</c:v>
                </c:pt>
                <c:pt idx="29">
                  <c:v>94.229325794254578</c:v>
                </c:pt>
                <c:pt idx="30">
                  <c:v>94.285699898688605</c:v>
                </c:pt>
                <c:pt idx="31">
                  <c:v>94.336624880393671</c:v>
                </c:pt>
                <c:pt idx="32">
                  <c:v>94.382600621833532</c:v>
                </c:pt>
                <c:pt idx="33">
                  <c:v>94.424067875942768</c:v>
                </c:pt>
                <c:pt idx="34">
                  <c:v>94.4614167575251</c:v>
                </c:pt>
                <c:pt idx="35">
                  <c:v>94.494993812200917</c:v>
                </c:pt>
                <c:pt idx="36">
                  <c:v>94.525107933350895</c:v>
                </c:pt>
                <c:pt idx="37">
                  <c:v>94.55203534029269</c:v>
                </c:pt>
                <c:pt idx="38">
                  <c:v>94.576023786979917</c:v>
                </c:pt>
                <c:pt idx="39">
                  <c:v>94.597296136500049</c:v>
                </c:pt>
                <c:pt idx="40">
                  <c:v>94.616053410133688</c:v>
                </c:pt>
                <c:pt idx="41">
                  <c:v>94.632477398931513</c:v>
                </c:pt>
                <c:pt idx="42">
                  <c:v>94.646732909329984</c:v>
                </c:pt>
                <c:pt idx="43">
                  <c:v>94.658969701270465</c:v>
                </c:pt>
                <c:pt idx="44">
                  <c:v>94.669324166848881</c:v>
                </c:pt>
                <c:pt idx="45">
                  <c:v>94.677920789138184</c:v>
                </c:pt>
                <c:pt idx="46">
                  <c:v>94.684873414051467</c:v>
                </c:pt>
                <c:pt idx="47">
                  <c:v>94.69028636261487</c:v>
                </c:pt>
                <c:pt idx="48">
                  <c:v>94.694255406534126</c:v>
                </c:pt>
                <c:pt idx="49">
                  <c:v>94.696868626263679</c:v>
                </c:pt>
                <c:pt idx="50">
                  <c:v>94.698207167763996</c:v>
                </c:pt>
                <c:pt idx="51">
                  <c:v>94.698345911632302</c:v>
                </c:pt>
                <c:pt idx="52">
                  <c:v>94.697354066221294</c:v>
                </c:pt>
                <c:pt idx="53">
                  <c:v>94.695295694631611</c:v>
                </c:pt>
                <c:pt idx="54">
                  <c:v>94.692230184022861</c:v>
                </c:pt>
                <c:pt idx="55">
                  <c:v>94.688212664476652</c:v>
                </c:pt>
                <c:pt idx="56">
                  <c:v>94.683294383627086</c:v>
                </c:pt>
                <c:pt idx="57">
                  <c:v>94.677523042413881</c:v>
                </c:pt>
                <c:pt idx="58">
                  <c:v>94.670943096585006</c:v>
                </c:pt>
                <c:pt idx="59">
                  <c:v>94.663596027957141</c:v>
                </c:pt>
                <c:pt idx="60">
                  <c:v>94.655520588914442</c:v>
                </c:pt>
                <c:pt idx="61">
                  <c:v>94.646753023176274</c:v>
                </c:pt>
                <c:pt idx="62">
                  <c:v>94.637327265478461</c:v>
                </c:pt>
                <c:pt idx="63">
                  <c:v>94.627275122480469</c:v>
                </c:pt>
                <c:pt idx="64">
                  <c:v>94.616626436926794</c:v>
                </c:pt>
                <c:pt idx="65">
                  <c:v>94.605409236842902</c:v>
                </c:pt>
                <c:pt idx="66">
                  <c:v>94.593649871333923</c:v>
                </c:pt>
                <c:pt idx="67">
                  <c:v>94.581373134368746</c:v>
                </c:pt>
                <c:pt idx="68">
                  <c:v>94.568602377771796</c:v>
                </c:pt>
                <c:pt idx="69">
                  <c:v>94.555359614504425</c:v>
                </c:pt>
                <c:pt idx="70">
                  <c:v>94.541665613195676</c:v>
                </c:pt>
                <c:pt idx="71">
                  <c:v>94.5275399847757</c:v>
                </c:pt>
                <c:pt idx="72">
                  <c:v>94.513001261970402</c:v>
                </c:pt>
                <c:pt idx="73">
                  <c:v>94.498066972334968</c:v>
                </c:pt>
                <c:pt idx="74">
                  <c:v>94.482753705430184</c:v>
                </c:pt>
                <c:pt idx="75">
                  <c:v>94.467077174682714</c:v>
                </c:pt>
                <c:pt idx="76">
                  <c:v>94.451052274413584</c:v>
                </c:pt>
                <c:pt idx="77">
                  <c:v>94.434693132469604</c:v>
                </c:pt>
                <c:pt idx="78">
                  <c:v>94.418013158848069</c:v>
                </c:pt>
                <c:pt idx="79">
                  <c:v>94.401025090666508</c:v>
                </c:pt>
                <c:pt idx="80">
                  <c:v>94.383741033793513</c:v>
                </c:pt>
                <c:pt idx="81">
                  <c:v>94.36617250142686</c:v>
                </c:pt>
                <c:pt idx="82">
                  <c:v>94.348330449876471</c:v>
                </c:pt>
                <c:pt idx="83">
                  <c:v>94.330225311786108</c:v>
                </c:pt>
                <c:pt idx="84">
                  <c:v>94.311867027004766</c:v>
                </c:pt>
                <c:pt idx="85">
                  <c:v>94.293265071299729</c:v>
                </c:pt>
                <c:pt idx="86">
                  <c:v>94.274428483085288</c:v>
                </c:pt>
                <c:pt idx="87">
                  <c:v>94.255365888325215</c:v>
                </c:pt>
                <c:pt idx="88">
                  <c:v>94.236085523752877</c:v>
                </c:pt>
                <c:pt idx="89">
                  <c:v>94.216595258540423</c:v>
                </c:pt>
                <c:pt idx="90">
                  <c:v>94.196902614536086</c:v>
                </c:pt>
                <c:pt idx="91">
                  <c:v>94.177014785179196</c:v>
                </c:pt>
                <c:pt idx="92">
                  <c:v>94.156938653192483</c:v>
                </c:pt>
                <c:pt idx="93">
                  <c:v>94.136680807142753</c:v>
                </c:pt>
                <c:pt idx="94">
                  <c:v>94.116247556953709</c:v>
                </c:pt>
                <c:pt idx="95">
                  <c:v>94.095644948447372</c:v>
                </c:pt>
                <c:pt idx="96">
                  <c:v>94.074878776984278</c:v>
                </c:pt>
                <c:pt idx="97">
                  <c:v>94.053954600267048</c:v>
                </c:pt>
                <c:pt idx="98">
                  <c:v>94.032877750366495</c:v>
                </c:pt>
                <c:pt idx="99">
                  <c:v>94.011653345024953</c:v>
                </c:pt>
                <c:pt idx="100">
                  <c:v>93.990286298286748</c:v>
                </c:pt>
                <c:pt idx="101">
                  <c:v>93.968781330502281</c:v>
                </c:pt>
                <c:pt idx="102">
                  <c:v>93.947142977748484</c:v>
                </c:pt>
                <c:pt idx="103">
                  <c:v>93.925375600704498</c:v>
                </c:pt>
                <c:pt idx="104">
                  <c:v>93.903483393019528</c:v>
                </c:pt>
                <c:pt idx="105">
                  <c:v>93.881470389206228</c:v>
                </c:pt>
                <c:pt idx="106">
                  <c:v>93.859340472090551</c:v>
                </c:pt>
                <c:pt idx="107">
                  <c:v>93.837097379847151</c:v>
                </c:pt>
                <c:pt idx="108">
                  <c:v>93.814744712646785</c:v>
                </c:pt>
                <c:pt idx="109">
                  <c:v>93.792285938940609</c:v>
                </c:pt>
                <c:pt idx="110">
                  <c:v>93.769724401404147</c:v>
                </c:pt>
                <c:pt idx="111">
                  <c:v>93.747063322562298</c:v>
                </c:pt>
                <c:pt idx="112">
                  <c:v>93.724305810115254</c:v>
                </c:pt>
                <c:pt idx="113">
                  <c:v>93.701454861983677</c:v>
                </c:pt>
                <c:pt idx="114">
                  <c:v>93.678513371090048</c:v>
                </c:pt>
                <c:pt idx="115">
                  <c:v>93.655484129892514</c:v>
                </c:pt>
                <c:pt idx="116">
                  <c:v>93.63236983468579</c:v>
                </c:pt>
                <c:pt idx="117">
                  <c:v>93.609173089683068</c:v>
                </c:pt>
                <c:pt idx="118">
                  <c:v>93.58589641089165</c:v>
                </c:pt>
                <c:pt idx="119">
                  <c:v>93.562542229794701</c:v>
                </c:pt>
                <c:pt idx="120">
                  <c:v>93.539112896850028</c:v>
                </c:pt>
                <c:pt idx="121">
                  <c:v>93.515610684816636</c:v>
                </c:pt>
                <c:pt idx="122">
                  <c:v>93.492037791918591</c:v>
                </c:pt>
                <c:pt idx="123">
                  <c:v>93.46839634485579</c:v>
                </c:pt>
                <c:pt idx="124">
                  <c:v>93.444688401669794</c:v>
                </c:pt>
                <c:pt idx="125">
                  <c:v>93.420915954473188</c:v>
                </c:pt>
                <c:pt idx="126">
                  <c:v>93.397080932049619</c:v>
                </c:pt>
                <c:pt idx="127">
                  <c:v>93.373185202331925</c:v>
                </c:pt>
                <c:pt idx="128">
                  <c:v>93.349230574764746</c:v>
                </c:pt>
                <c:pt idx="129">
                  <c:v>93.325218802558012</c:v>
                </c:pt>
                <c:pt idx="130">
                  <c:v>93.301151584837015</c:v>
                </c:pt>
                <c:pt idx="131">
                  <c:v>93.277030568694641</c:v>
                </c:pt>
                <c:pt idx="132">
                  <c:v>93.252857351150851</c:v>
                </c:pt>
                <c:pt idx="133">
                  <c:v>93.228633481024374</c:v>
                </c:pt>
                <c:pt idx="134">
                  <c:v>93.204360460721077</c:v>
                </c:pt>
                <c:pt idx="135">
                  <c:v>93.180039747943255</c:v>
                </c:pt>
                <c:pt idx="136">
                  <c:v>93.155672757324041</c:v>
                </c:pt>
                <c:pt idx="137">
                  <c:v>93.131260861990654</c:v>
                </c:pt>
                <c:pt idx="138">
                  <c:v>93.106805395060093</c:v>
                </c:pt>
                <c:pt idx="139">
                  <c:v>93.082307651070479</c:v>
                </c:pt>
                <c:pt idx="140">
                  <c:v>93.057768887351727</c:v>
                </c:pt>
                <c:pt idx="141">
                  <c:v>93.033190325337884</c:v>
                </c:pt>
                <c:pt idx="142">
                  <c:v>93.008573151824606</c:v>
                </c:pt>
                <c:pt idx="143">
                  <c:v>92.983918520173958</c:v>
                </c:pt>
                <c:pt idx="144">
                  <c:v>92.959227551469496</c:v>
                </c:pt>
                <c:pt idx="145">
                  <c:v>92.934501335623594</c:v>
                </c:pt>
                <c:pt idx="146">
                  <c:v>92.909740932439817</c:v>
                </c:pt>
                <c:pt idx="147">
                  <c:v>92.884947372631814</c:v>
                </c:pt>
                <c:pt idx="148">
                  <c:v>92.860121658801376</c:v>
                </c:pt>
                <c:pt idx="149">
                  <c:v>92.835264766377307</c:v>
                </c:pt>
                <c:pt idx="150">
                  <c:v>92.810377644516862</c:v>
                </c:pt>
              </c:numCache>
            </c:numRef>
          </c:yVal>
          <c:smooth val="0"/>
          <c:extLst>
            <c:ext xmlns:c16="http://schemas.microsoft.com/office/drawing/2014/chart" uri="{C3380CC4-5D6E-409C-BE32-E72D297353CC}">
              <c16:uniqueId val="{00000000-3346-4488-BAA1-46FD455F8B2C}"/>
            </c:ext>
          </c:extLst>
        </c:ser>
        <c:dLbls>
          <c:showLegendKey val="0"/>
          <c:showVal val="0"/>
          <c:showCatName val="0"/>
          <c:showSerName val="0"/>
          <c:showPercent val="0"/>
          <c:showBubbleSize val="0"/>
        </c:dLbls>
        <c:axId val="224130176"/>
        <c:axId val="224131712"/>
      </c:scatterChart>
      <c:scatterChart>
        <c:scatterStyle val="smoothMarker"/>
        <c:varyColors val="0"/>
        <c:ser>
          <c:idx val="1"/>
          <c:order val="1"/>
          <c:tx>
            <c:v>MOSFET</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Eff_vs_IOUT!$AI$7:$AI$157</c:f>
              <c:numCache>
                <c:formatCode>General</c:formatCode>
                <c:ptCount val="151"/>
                <c:pt idx="0">
                  <c:v>0</c:v>
                </c:pt>
                <c:pt idx="1">
                  <c:v>7.3201980628764679E-2</c:v>
                </c:pt>
                <c:pt idx="2">
                  <c:v>0.14751482530246807</c:v>
                </c:pt>
                <c:pt idx="3">
                  <c:v>0.22255083189618749</c:v>
                </c:pt>
                <c:pt idx="4">
                  <c:v>0.29817164860154599</c:v>
                </c:pt>
                <c:pt idx="5">
                  <c:v>0.37429731571330743</c:v>
                </c:pt>
                <c:pt idx="6">
                  <c:v>0.45087388269078088</c:v>
                </c:pt>
                <c:pt idx="7">
                  <c:v>0.52786174306965139</c:v>
                </c:pt>
                <c:pt idx="8">
                  <c:v>0.60523020956260165</c:v>
                </c:pt>
                <c:pt idx="9">
                  <c:v>0.68295459304807493</c:v>
                </c:pt>
                <c:pt idx="10">
                  <c:v>0.76101446901783143</c:v>
                </c:pt>
                <c:pt idx="11">
                  <c:v>0.83939257417315039</c:v>
                </c:pt>
                <c:pt idx="12">
                  <c:v>0.91807406588378571</c:v>
                </c:pt>
                <c:pt idx="13">
                  <c:v>0.99704600404807164</c:v>
                </c:pt>
                <c:pt idx="14">
                  <c:v>1.0762969761624803</c:v>
                </c:pt>
                <c:pt idx="15">
                  <c:v>1.1558168183818314</c:v>
                </c:pt>
                <c:pt idx="16">
                  <c:v>1.2355964030980824</c:v>
                </c:pt>
                <c:pt idx="17">
                  <c:v>1.3157111546503999</c:v>
                </c:pt>
                <c:pt idx="18">
                  <c:v>1.3963215961186541</c:v>
                </c:pt>
                <c:pt idx="19">
                  <c:v>1.4774320028646855</c:v>
                </c:pt>
                <c:pt idx="20">
                  <c:v>1.5590423748884954</c:v>
                </c:pt>
                <c:pt idx="21">
                  <c:v>1.6411527121900826</c:v>
                </c:pt>
                <c:pt idx="22">
                  <c:v>1.7237630147694474</c:v>
                </c:pt>
                <c:pt idx="23">
                  <c:v>1.8068732826265907</c:v>
                </c:pt>
                <c:pt idx="24">
                  <c:v>1.8904835157615114</c:v>
                </c:pt>
                <c:pt idx="25">
                  <c:v>1.9745937141742096</c:v>
                </c:pt>
                <c:pt idx="26">
                  <c:v>2.0592038778646855</c:v>
                </c:pt>
                <c:pt idx="27">
                  <c:v>2.1443140068329392</c:v>
                </c:pt>
                <c:pt idx="28">
                  <c:v>2.2299241010789714</c:v>
                </c:pt>
                <c:pt idx="29">
                  <c:v>2.3160341606027801</c:v>
                </c:pt>
                <c:pt idx="30">
                  <c:v>2.4026441854043687</c:v>
                </c:pt>
                <c:pt idx="31">
                  <c:v>2.4897541754837333</c:v>
                </c:pt>
                <c:pt idx="32">
                  <c:v>2.5773641308408766</c:v>
                </c:pt>
                <c:pt idx="33">
                  <c:v>2.6654740514757962</c:v>
                </c:pt>
                <c:pt idx="34">
                  <c:v>2.7540839373884953</c:v>
                </c:pt>
                <c:pt idx="35">
                  <c:v>2.8431937885789713</c:v>
                </c:pt>
                <c:pt idx="36">
                  <c:v>2.9328036050472255</c:v>
                </c:pt>
                <c:pt idx="37">
                  <c:v>3.0229133867932578</c:v>
                </c:pt>
                <c:pt idx="38">
                  <c:v>3.1135231338170661</c:v>
                </c:pt>
                <c:pt idx="39">
                  <c:v>3.2046328461186535</c:v>
                </c:pt>
                <c:pt idx="40">
                  <c:v>3.2962425236980191</c:v>
                </c:pt>
                <c:pt idx="41">
                  <c:v>3.3883521665551619</c:v>
                </c:pt>
                <c:pt idx="42">
                  <c:v>3.4809617746900825</c:v>
                </c:pt>
                <c:pt idx="43">
                  <c:v>3.5740713481027813</c:v>
                </c:pt>
                <c:pt idx="44">
                  <c:v>3.6676808867932564</c:v>
                </c:pt>
                <c:pt idx="45">
                  <c:v>3.7617903907615111</c:v>
                </c:pt>
                <c:pt idx="46">
                  <c:v>3.8563998600075435</c:v>
                </c:pt>
                <c:pt idx="47">
                  <c:v>3.9515092945313519</c:v>
                </c:pt>
                <c:pt idx="48">
                  <c:v>4.0471186943329398</c:v>
                </c:pt>
                <c:pt idx="49">
                  <c:v>4.143228059412305</c:v>
                </c:pt>
                <c:pt idx="50">
                  <c:v>4.2398373897694475</c:v>
                </c:pt>
                <c:pt idx="51">
                  <c:v>4.3369466854043681</c:v>
                </c:pt>
                <c:pt idx="52">
                  <c:v>4.4345559463170661</c:v>
                </c:pt>
                <c:pt idx="53">
                  <c:v>4.5326651725075431</c:v>
                </c:pt>
                <c:pt idx="54">
                  <c:v>4.6312743639757956</c:v>
                </c:pt>
                <c:pt idx="55">
                  <c:v>4.7303835207218281</c:v>
                </c:pt>
                <c:pt idx="56">
                  <c:v>4.8299926427456379</c:v>
                </c:pt>
                <c:pt idx="57">
                  <c:v>4.9301017300472258</c:v>
                </c:pt>
                <c:pt idx="58">
                  <c:v>5.0307107826265893</c:v>
                </c:pt>
                <c:pt idx="59">
                  <c:v>5.1318198004837337</c:v>
                </c:pt>
                <c:pt idx="60">
                  <c:v>5.2334287836186544</c:v>
                </c:pt>
                <c:pt idx="61">
                  <c:v>5.3355377320313533</c:v>
                </c:pt>
                <c:pt idx="62">
                  <c:v>5.4381466457218286</c:v>
                </c:pt>
                <c:pt idx="63">
                  <c:v>5.5412555246900821</c:v>
                </c:pt>
                <c:pt idx="64">
                  <c:v>5.6448643689361147</c:v>
                </c:pt>
                <c:pt idx="65">
                  <c:v>5.7489731784599236</c:v>
                </c:pt>
                <c:pt idx="66">
                  <c:v>5.853581953261509</c:v>
                </c:pt>
                <c:pt idx="67">
                  <c:v>5.9586906933408761</c:v>
                </c:pt>
                <c:pt idx="68">
                  <c:v>6.0642993986980187</c:v>
                </c:pt>
                <c:pt idx="69">
                  <c:v>6.1704080693329377</c:v>
                </c:pt>
                <c:pt idx="70">
                  <c:v>6.2770167052456385</c:v>
                </c:pt>
                <c:pt idx="71">
                  <c:v>6.3841253064361139</c:v>
                </c:pt>
                <c:pt idx="72">
                  <c:v>6.4917338729043692</c:v>
                </c:pt>
                <c:pt idx="73">
                  <c:v>6.599842404650401</c:v>
                </c:pt>
                <c:pt idx="74">
                  <c:v>6.7084509016742118</c:v>
                </c:pt>
                <c:pt idx="75">
                  <c:v>6.8175593639757972</c:v>
                </c:pt>
                <c:pt idx="76">
                  <c:v>6.9271677915551608</c:v>
                </c:pt>
                <c:pt idx="77">
                  <c:v>7.0372761844123044</c:v>
                </c:pt>
                <c:pt idx="78">
                  <c:v>7.1478845425472244</c:v>
                </c:pt>
                <c:pt idx="79">
                  <c:v>7.2589928659599225</c:v>
                </c:pt>
                <c:pt idx="80">
                  <c:v>7.3706011546503998</c:v>
                </c:pt>
                <c:pt idx="81">
                  <c:v>7.4827094086186534</c:v>
                </c:pt>
                <c:pt idx="82">
                  <c:v>7.5953176278646852</c:v>
                </c:pt>
                <c:pt idx="83">
                  <c:v>7.708425812388497</c:v>
                </c:pt>
                <c:pt idx="84">
                  <c:v>7.8220339621900825</c:v>
                </c:pt>
                <c:pt idx="85">
                  <c:v>7.936142077269448</c:v>
                </c:pt>
                <c:pt idx="86">
                  <c:v>8.0507501576265916</c:v>
                </c:pt>
                <c:pt idx="87">
                  <c:v>8.1658582032615108</c:v>
                </c:pt>
                <c:pt idx="88">
                  <c:v>8.2814662141742073</c:v>
                </c:pt>
                <c:pt idx="89">
                  <c:v>8.3975741903646846</c:v>
                </c:pt>
                <c:pt idx="90">
                  <c:v>8.5141821318329391</c:v>
                </c:pt>
                <c:pt idx="91">
                  <c:v>8.6312900385789728</c:v>
                </c:pt>
                <c:pt idx="92">
                  <c:v>8.748897910602782</c:v>
                </c:pt>
                <c:pt idx="93">
                  <c:v>8.867005747904372</c:v>
                </c:pt>
                <c:pt idx="94">
                  <c:v>8.9856135504837322</c:v>
                </c:pt>
                <c:pt idx="95">
                  <c:v>9.1047213183408751</c:v>
                </c:pt>
                <c:pt idx="96">
                  <c:v>9.224329051475797</c:v>
                </c:pt>
                <c:pt idx="97">
                  <c:v>9.3444367498884962</c:v>
                </c:pt>
                <c:pt idx="98">
                  <c:v>9.4650444135789726</c:v>
                </c:pt>
                <c:pt idx="99">
                  <c:v>9.5861520425472264</c:v>
                </c:pt>
                <c:pt idx="100">
                  <c:v>9.7077596367932575</c:v>
                </c:pt>
                <c:pt idx="101">
                  <c:v>9.8298671963170641</c:v>
                </c:pt>
                <c:pt idx="102">
                  <c:v>9.9524747211186551</c:v>
                </c:pt>
                <c:pt idx="103">
                  <c:v>10.07558221119802</c:v>
                </c:pt>
                <c:pt idx="104">
                  <c:v>10.199189666555162</c:v>
                </c:pt>
                <c:pt idx="105">
                  <c:v>10.323297087190083</c:v>
                </c:pt>
                <c:pt idx="106">
                  <c:v>10.447904473102781</c:v>
                </c:pt>
                <c:pt idx="107">
                  <c:v>10.573011824293257</c:v>
                </c:pt>
                <c:pt idx="108">
                  <c:v>10.698619140761508</c:v>
                </c:pt>
                <c:pt idx="109">
                  <c:v>10.824726422507542</c:v>
                </c:pt>
                <c:pt idx="110">
                  <c:v>10.951333669531351</c:v>
                </c:pt>
                <c:pt idx="111">
                  <c:v>11.07844088183294</c:v>
                </c:pt>
                <c:pt idx="112">
                  <c:v>11.206048059412305</c:v>
                </c:pt>
                <c:pt idx="113">
                  <c:v>11.334155202269448</c:v>
                </c:pt>
                <c:pt idx="114">
                  <c:v>11.462762310404369</c:v>
                </c:pt>
                <c:pt idx="115">
                  <c:v>11.591869383817066</c:v>
                </c:pt>
                <c:pt idx="116">
                  <c:v>11.721476422507539</c:v>
                </c:pt>
                <c:pt idx="117">
                  <c:v>11.851583426475795</c:v>
                </c:pt>
                <c:pt idx="118">
                  <c:v>11.98219039572183</c:v>
                </c:pt>
                <c:pt idx="119">
                  <c:v>12.11329733024564</c:v>
                </c:pt>
                <c:pt idx="120">
                  <c:v>12.244904230047226</c:v>
                </c:pt>
                <c:pt idx="121">
                  <c:v>12.377011095126591</c:v>
                </c:pt>
                <c:pt idx="122">
                  <c:v>12.509617925483735</c:v>
                </c:pt>
                <c:pt idx="123">
                  <c:v>12.64272472111865</c:v>
                </c:pt>
                <c:pt idx="124">
                  <c:v>12.776331482031352</c:v>
                </c:pt>
                <c:pt idx="125">
                  <c:v>12.91043820822183</c:v>
                </c:pt>
                <c:pt idx="126">
                  <c:v>13.045044899690083</c:v>
                </c:pt>
                <c:pt idx="127">
                  <c:v>13.180151556436115</c:v>
                </c:pt>
                <c:pt idx="128">
                  <c:v>13.315758178459923</c:v>
                </c:pt>
                <c:pt idx="129">
                  <c:v>13.451864765761513</c:v>
                </c:pt>
                <c:pt idx="130">
                  <c:v>13.588471318340876</c:v>
                </c:pt>
                <c:pt idx="131">
                  <c:v>13.725577836198017</c:v>
                </c:pt>
                <c:pt idx="132">
                  <c:v>13.863184319332936</c:v>
                </c:pt>
                <c:pt idx="133">
                  <c:v>14.001290767745637</c:v>
                </c:pt>
                <c:pt idx="134">
                  <c:v>14.139897181436114</c:v>
                </c:pt>
                <c:pt idx="135">
                  <c:v>14.279003560404368</c:v>
                </c:pt>
                <c:pt idx="136">
                  <c:v>14.418609904650399</c:v>
                </c:pt>
                <c:pt idx="137">
                  <c:v>14.558716214174211</c:v>
                </c:pt>
                <c:pt idx="138">
                  <c:v>14.699322488975792</c:v>
                </c:pt>
                <c:pt idx="139">
                  <c:v>14.840428729055162</c:v>
                </c:pt>
                <c:pt idx="140">
                  <c:v>14.982034934412304</c:v>
                </c:pt>
                <c:pt idx="141">
                  <c:v>15.124141105047226</c:v>
                </c:pt>
                <c:pt idx="142">
                  <c:v>15.266747240959923</c:v>
                </c:pt>
                <c:pt idx="143">
                  <c:v>15.409853342150397</c:v>
                </c:pt>
                <c:pt idx="144">
                  <c:v>15.553459408618654</c:v>
                </c:pt>
                <c:pt idx="145">
                  <c:v>15.697565440364684</c:v>
                </c:pt>
                <c:pt idx="146">
                  <c:v>15.842171437388497</c:v>
                </c:pt>
                <c:pt idx="147">
                  <c:v>15.987277399690083</c:v>
                </c:pt>
                <c:pt idx="148">
                  <c:v>16.132883327269454</c:v>
                </c:pt>
                <c:pt idx="149">
                  <c:v>16.278989220126586</c:v>
                </c:pt>
                <c:pt idx="150">
                  <c:v>16.425595078261512</c:v>
                </c:pt>
              </c:numCache>
            </c:numRef>
          </c:yVal>
          <c:smooth val="1"/>
          <c:extLst>
            <c:ext xmlns:c16="http://schemas.microsoft.com/office/drawing/2014/chart" uri="{C3380CC4-5D6E-409C-BE32-E72D297353CC}">
              <c16:uniqueId val="{00000001-3346-4488-BAA1-46FD455F8B2C}"/>
            </c:ext>
          </c:extLst>
        </c:ser>
        <c:ser>
          <c:idx val="2"/>
          <c:order val="2"/>
          <c:tx>
            <c:v>Diode</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Eff_vs_IOUT!$AO$7:$AO$157</c:f>
              <c:numCache>
                <c:formatCode>General</c:formatCode>
                <c:ptCount val="151"/>
                <c:pt idx="0">
                  <c:v>0</c:v>
                </c:pt>
                <c:pt idx="1">
                  <c:v>0.38043747775320613</c:v>
                </c:pt>
                <c:pt idx="2">
                  <c:v>0.39457538910275797</c:v>
                </c:pt>
                <c:pt idx="3">
                  <c:v>0.40603255642520436</c:v>
                </c:pt>
                <c:pt idx="4">
                  <c:v>0.41620111509687385</c:v>
                </c:pt>
                <c:pt idx="5">
                  <c:v>0.42560788748377942</c:v>
                </c:pt>
                <c:pt idx="6">
                  <c:v>0.43451696965770215</c:v>
                </c:pt>
                <c:pt idx="7">
                  <c:v>0.44308169039044742</c:v>
                </c:pt>
                <c:pt idx="8">
                  <c:v>0.45139965468979548</c:v>
                </c:pt>
                <c:pt idx="9">
                  <c:v>0.45953707162146479</c:v>
                </c:pt>
                <c:pt idx="10">
                  <c:v>0.46754099536361854</c:v>
                </c:pt>
                <c:pt idx="11">
                  <c:v>0.47544608004593303</c:v>
                </c:pt>
                <c:pt idx="12">
                  <c:v>0.48327857517913975</c:v>
                </c:pt>
                <c:pt idx="13">
                  <c:v>0.49105882078019181</c:v>
                </c:pt>
                <c:pt idx="14">
                  <c:v>0.49880287517718697</c:v>
                </c:pt>
                <c:pt idx="15">
                  <c:v>0.50652361588508188</c:v>
                </c:pt>
                <c:pt idx="16">
                  <c:v>0.51423150691744057</c:v>
                </c:pt>
                <c:pt idx="17">
                  <c:v>0.52201350968778704</c:v>
                </c:pt>
                <c:pt idx="18">
                  <c:v>0.53002670413223152</c:v>
                </c:pt>
                <c:pt idx="19">
                  <c:v>0.53827517635445365</c:v>
                </c:pt>
                <c:pt idx="20">
                  <c:v>0.54675892635445367</c:v>
                </c:pt>
                <c:pt idx="21">
                  <c:v>0.55547795413223144</c:v>
                </c:pt>
                <c:pt idx="22">
                  <c:v>0.56443225968778699</c:v>
                </c:pt>
                <c:pt idx="23">
                  <c:v>0.5736218430211204</c:v>
                </c:pt>
                <c:pt idx="24">
                  <c:v>0.58304670413223147</c:v>
                </c:pt>
                <c:pt idx="25">
                  <c:v>0.59270684302112042</c:v>
                </c:pt>
                <c:pt idx="26">
                  <c:v>0.60260225968778713</c:v>
                </c:pt>
                <c:pt idx="27">
                  <c:v>0.6127329541322315</c:v>
                </c:pt>
                <c:pt idx="28">
                  <c:v>0.62309892635445363</c:v>
                </c:pt>
                <c:pt idx="29">
                  <c:v>0.63370017635445364</c:v>
                </c:pt>
                <c:pt idx="30">
                  <c:v>0.64453670413223163</c:v>
                </c:pt>
                <c:pt idx="31">
                  <c:v>0.65560850968778717</c:v>
                </c:pt>
                <c:pt idx="32">
                  <c:v>0.66691559302112036</c:v>
                </c:pt>
                <c:pt idx="33">
                  <c:v>0.67845795413223153</c:v>
                </c:pt>
                <c:pt idx="34">
                  <c:v>0.69023559302112036</c:v>
                </c:pt>
                <c:pt idx="35">
                  <c:v>0.70224850968778707</c:v>
                </c:pt>
                <c:pt idx="36">
                  <c:v>0.71449670413223154</c:v>
                </c:pt>
                <c:pt idx="37">
                  <c:v>0.72698017635445378</c:v>
                </c:pt>
                <c:pt idx="38">
                  <c:v>0.73969892635445356</c:v>
                </c:pt>
                <c:pt idx="39">
                  <c:v>0.75265295413223132</c:v>
                </c:pt>
                <c:pt idx="40">
                  <c:v>0.76584225968778696</c:v>
                </c:pt>
                <c:pt idx="41">
                  <c:v>0.77926684302112048</c:v>
                </c:pt>
                <c:pt idx="42">
                  <c:v>0.79292670413223154</c:v>
                </c:pt>
                <c:pt idx="43">
                  <c:v>0.80682184302112048</c:v>
                </c:pt>
                <c:pt idx="44">
                  <c:v>0.82095225968778707</c:v>
                </c:pt>
                <c:pt idx="45">
                  <c:v>0.83531795413223153</c:v>
                </c:pt>
                <c:pt idx="46">
                  <c:v>0.84991892635445376</c:v>
                </c:pt>
                <c:pt idx="47">
                  <c:v>0.86475517635445365</c:v>
                </c:pt>
                <c:pt idx="48">
                  <c:v>0.87982670413223163</c:v>
                </c:pt>
                <c:pt idx="49">
                  <c:v>0.89513350968778704</c:v>
                </c:pt>
                <c:pt idx="50">
                  <c:v>0.91067559302112056</c:v>
                </c:pt>
                <c:pt idx="51">
                  <c:v>0.92645295413223161</c:v>
                </c:pt>
                <c:pt idx="52">
                  <c:v>0.94246559302112043</c:v>
                </c:pt>
                <c:pt idx="53">
                  <c:v>0.95871350968778701</c:v>
                </c:pt>
                <c:pt idx="54">
                  <c:v>0.97519670413223136</c:v>
                </c:pt>
                <c:pt idx="55">
                  <c:v>0.9919151763544537</c:v>
                </c:pt>
                <c:pt idx="56">
                  <c:v>1.0088689263544537</c:v>
                </c:pt>
                <c:pt idx="57">
                  <c:v>1.0260579541322317</c:v>
                </c:pt>
                <c:pt idx="58">
                  <c:v>1.0434822596877871</c:v>
                </c:pt>
                <c:pt idx="59">
                  <c:v>1.0611418430211204</c:v>
                </c:pt>
                <c:pt idx="60">
                  <c:v>1.0790367041322315</c:v>
                </c:pt>
                <c:pt idx="61">
                  <c:v>1.0971668430211206</c:v>
                </c:pt>
                <c:pt idx="62">
                  <c:v>1.115532259687787</c:v>
                </c:pt>
                <c:pt idx="63">
                  <c:v>1.1341329541322316</c:v>
                </c:pt>
                <c:pt idx="64">
                  <c:v>1.1529689263544538</c:v>
                </c:pt>
                <c:pt idx="65">
                  <c:v>1.1720401763544539</c:v>
                </c:pt>
                <c:pt idx="66">
                  <c:v>1.1913467041322314</c:v>
                </c:pt>
                <c:pt idx="67">
                  <c:v>1.2108885096877868</c:v>
                </c:pt>
                <c:pt idx="68">
                  <c:v>1.2306655930211206</c:v>
                </c:pt>
                <c:pt idx="69">
                  <c:v>1.2506779541322313</c:v>
                </c:pt>
                <c:pt idx="70">
                  <c:v>1.2709255930211207</c:v>
                </c:pt>
                <c:pt idx="71">
                  <c:v>1.2914085096877872</c:v>
                </c:pt>
                <c:pt idx="72">
                  <c:v>1.3121267041322315</c:v>
                </c:pt>
                <c:pt idx="73">
                  <c:v>1.3330801763544542</c:v>
                </c:pt>
                <c:pt idx="74">
                  <c:v>1.3542689263544543</c:v>
                </c:pt>
                <c:pt idx="75">
                  <c:v>1.3756929541322316</c:v>
                </c:pt>
                <c:pt idx="76">
                  <c:v>1.397352259687787</c:v>
                </c:pt>
                <c:pt idx="77">
                  <c:v>1.4192468430211205</c:v>
                </c:pt>
                <c:pt idx="78">
                  <c:v>1.4413767041322312</c:v>
                </c:pt>
                <c:pt idx="79">
                  <c:v>1.4637418430211204</c:v>
                </c:pt>
                <c:pt idx="80">
                  <c:v>1.4863422596877871</c:v>
                </c:pt>
                <c:pt idx="81">
                  <c:v>1.5091779541322314</c:v>
                </c:pt>
                <c:pt idx="82">
                  <c:v>1.5322489263544541</c:v>
                </c:pt>
                <c:pt idx="83">
                  <c:v>1.5555551763544542</c:v>
                </c:pt>
                <c:pt idx="84">
                  <c:v>1.5790967041322319</c:v>
                </c:pt>
                <c:pt idx="85">
                  <c:v>1.6028735096877875</c:v>
                </c:pt>
                <c:pt idx="86">
                  <c:v>1.6268855930211206</c:v>
                </c:pt>
                <c:pt idx="87">
                  <c:v>1.6511329541322317</c:v>
                </c:pt>
                <c:pt idx="88">
                  <c:v>1.6756155930211205</c:v>
                </c:pt>
                <c:pt idx="89">
                  <c:v>1.7003335096877872</c:v>
                </c:pt>
                <c:pt idx="90">
                  <c:v>1.7252867041322317</c:v>
                </c:pt>
                <c:pt idx="91">
                  <c:v>1.7504751763544542</c:v>
                </c:pt>
                <c:pt idx="92">
                  <c:v>1.7758989263544545</c:v>
                </c:pt>
                <c:pt idx="93">
                  <c:v>1.8015579541322322</c:v>
                </c:pt>
                <c:pt idx="94">
                  <c:v>1.8274522596877874</c:v>
                </c:pt>
                <c:pt idx="95">
                  <c:v>1.8535818430211206</c:v>
                </c:pt>
                <c:pt idx="96">
                  <c:v>1.879946704132232</c:v>
                </c:pt>
                <c:pt idx="97">
                  <c:v>1.9065468430211208</c:v>
                </c:pt>
                <c:pt idx="98">
                  <c:v>1.9333822596877874</c:v>
                </c:pt>
                <c:pt idx="99">
                  <c:v>1.9604529541322322</c:v>
                </c:pt>
                <c:pt idx="100">
                  <c:v>1.9877589263544544</c:v>
                </c:pt>
                <c:pt idx="101">
                  <c:v>2.0153001763544536</c:v>
                </c:pt>
                <c:pt idx="102">
                  <c:v>2.0430767041322317</c:v>
                </c:pt>
                <c:pt idx="103">
                  <c:v>2.0710885096877876</c:v>
                </c:pt>
                <c:pt idx="104">
                  <c:v>2.099335593021121</c:v>
                </c:pt>
                <c:pt idx="105">
                  <c:v>2.1278179541322313</c:v>
                </c:pt>
                <c:pt idx="106">
                  <c:v>2.1565355930211214</c:v>
                </c:pt>
                <c:pt idx="107">
                  <c:v>2.1854885096877883</c:v>
                </c:pt>
                <c:pt idx="108">
                  <c:v>2.2146767041322315</c:v>
                </c:pt>
                <c:pt idx="109">
                  <c:v>2.2441001763544537</c:v>
                </c:pt>
                <c:pt idx="110">
                  <c:v>2.273758926354454</c:v>
                </c:pt>
                <c:pt idx="111">
                  <c:v>2.3036529541322319</c:v>
                </c:pt>
                <c:pt idx="112">
                  <c:v>2.3337822596877871</c:v>
                </c:pt>
                <c:pt idx="113">
                  <c:v>2.3641468430211212</c:v>
                </c:pt>
                <c:pt idx="114">
                  <c:v>2.3947467041322321</c:v>
                </c:pt>
                <c:pt idx="115">
                  <c:v>2.4255818430211207</c:v>
                </c:pt>
                <c:pt idx="116">
                  <c:v>2.4566522596877864</c:v>
                </c:pt>
                <c:pt idx="117">
                  <c:v>2.4879579541322321</c:v>
                </c:pt>
                <c:pt idx="118">
                  <c:v>2.519498926354454</c:v>
                </c:pt>
                <c:pt idx="119">
                  <c:v>2.5512751763544546</c:v>
                </c:pt>
                <c:pt idx="120">
                  <c:v>2.5832867041322323</c:v>
                </c:pt>
                <c:pt idx="121">
                  <c:v>2.6155335096877876</c:v>
                </c:pt>
                <c:pt idx="122">
                  <c:v>2.648015593021122</c:v>
                </c:pt>
                <c:pt idx="123">
                  <c:v>2.6807329541322313</c:v>
                </c:pt>
                <c:pt idx="124">
                  <c:v>2.7136855930211206</c:v>
                </c:pt>
                <c:pt idx="125">
                  <c:v>2.7468735096877879</c:v>
                </c:pt>
                <c:pt idx="126">
                  <c:v>2.7802967041322333</c:v>
                </c:pt>
                <c:pt idx="127">
                  <c:v>2.8139551763544546</c:v>
                </c:pt>
                <c:pt idx="128">
                  <c:v>2.8478489263544531</c:v>
                </c:pt>
                <c:pt idx="129">
                  <c:v>2.8819779541322323</c:v>
                </c:pt>
                <c:pt idx="130">
                  <c:v>2.9163422596877875</c:v>
                </c:pt>
                <c:pt idx="131">
                  <c:v>2.9509418430211207</c:v>
                </c:pt>
                <c:pt idx="132">
                  <c:v>2.9857767041322312</c:v>
                </c:pt>
                <c:pt idx="133">
                  <c:v>3.0208468430211211</c:v>
                </c:pt>
                <c:pt idx="134">
                  <c:v>3.0561522596877868</c:v>
                </c:pt>
                <c:pt idx="135">
                  <c:v>3.091692954132232</c:v>
                </c:pt>
                <c:pt idx="136">
                  <c:v>3.1274689263544539</c:v>
                </c:pt>
                <c:pt idx="137">
                  <c:v>3.1634801763544553</c:v>
                </c:pt>
                <c:pt idx="138">
                  <c:v>3.1997267041322313</c:v>
                </c:pt>
                <c:pt idx="139">
                  <c:v>3.2362085096877875</c:v>
                </c:pt>
                <c:pt idx="140">
                  <c:v>3.2729255930211218</c:v>
                </c:pt>
                <c:pt idx="141">
                  <c:v>3.309877954132233</c:v>
                </c:pt>
                <c:pt idx="142">
                  <c:v>3.3470655930211217</c:v>
                </c:pt>
                <c:pt idx="143">
                  <c:v>3.3844885096877872</c:v>
                </c:pt>
                <c:pt idx="144">
                  <c:v>3.4221467041322327</c:v>
                </c:pt>
                <c:pt idx="145">
                  <c:v>3.4600401763544548</c:v>
                </c:pt>
                <c:pt idx="146">
                  <c:v>3.4981689263544551</c:v>
                </c:pt>
                <c:pt idx="147">
                  <c:v>3.5365329541322321</c:v>
                </c:pt>
                <c:pt idx="148">
                  <c:v>3.5751322596877886</c:v>
                </c:pt>
                <c:pt idx="149">
                  <c:v>3.6139668430211209</c:v>
                </c:pt>
                <c:pt idx="150">
                  <c:v>3.6530367041322327</c:v>
                </c:pt>
              </c:numCache>
            </c:numRef>
          </c:yVal>
          <c:smooth val="1"/>
          <c:extLst>
            <c:ext xmlns:c16="http://schemas.microsoft.com/office/drawing/2014/chart" uri="{C3380CC4-5D6E-409C-BE32-E72D297353CC}">
              <c16:uniqueId val="{00000002-3346-4488-BAA1-46FD455F8B2C}"/>
            </c:ext>
          </c:extLst>
        </c:ser>
        <c:ser>
          <c:idx val="3"/>
          <c:order val="3"/>
          <c:tx>
            <c:v>RCS</c:v>
          </c:tx>
          <c:marker>
            <c:symbol val="none"/>
          </c:marker>
          <c:xVal>
            <c:numRef>
              <c:f>Eff_vs_IOUT!$S$7:$S$157</c:f>
              <c:numCache>
                <c:formatCode>General</c:formatCode>
                <c:ptCount val="151"/>
                <c:pt idx="0">
                  <c:v>0</c:v>
                </c:pt>
                <c:pt idx="1">
                  <c:v>7.3333333333333334E-2</c:v>
                </c:pt>
                <c:pt idx="2">
                  <c:v>0.14666666666666667</c:v>
                </c:pt>
                <c:pt idx="3">
                  <c:v>0.22</c:v>
                </c:pt>
                <c:pt idx="4">
                  <c:v>0.29333333333333333</c:v>
                </c:pt>
                <c:pt idx="5">
                  <c:v>0.3666666666666667</c:v>
                </c:pt>
                <c:pt idx="6">
                  <c:v>0.44</c:v>
                </c:pt>
                <c:pt idx="7">
                  <c:v>0.51333333333333331</c:v>
                </c:pt>
                <c:pt idx="8">
                  <c:v>0.58666666666666667</c:v>
                </c:pt>
                <c:pt idx="9">
                  <c:v>0.66</c:v>
                </c:pt>
                <c:pt idx="10">
                  <c:v>0.73333333333333339</c:v>
                </c:pt>
                <c:pt idx="11">
                  <c:v>0.80666666666666664</c:v>
                </c:pt>
                <c:pt idx="12">
                  <c:v>0.88</c:v>
                </c:pt>
                <c:pt idx="13">
                  <c:v>0.95333333333333337</c:v>
                </c:pt>
                <c:pt idx="14">
                  <c:v>1.0266666666666666</c:v>
                </c:pt>
                <c:pt idx="15">
                  <c:v>1.1000000000000001</c:v>
                </c:pt>
                <c:pt idx="16">
                  <c:v>1.1733333333333333</c:v>
                </c:pt>
                <c:pt idx="17">
                  <c:v>1.2466666666666666</c:v>
                </c:pt>
                <c:pt idx="18">
                  <c:v>1.32</c:v>
                </c:pt>
                <c:pt idx="19">
                  <c:v>1.3933333333333333</c:v>
                </c:pt>
                <c:pt idx="20">
                  <c:v>1.4666666666666668</c:v>
                </c:pt>
                <c:pt idx="21">
                  <c:v>1.54</c:v>
                </c:pt>
                <c:pt idx="22">
                  <c:v>1.6133333333333333</c:v>
                </c:pt>
                <c:pt idx="23">
                  <c:v>1.6866666666666668</c:v>
                </c:pt>
                <c:pt idx="24">
                  <c:v>1.76</c:v>
                </c:pt>
                <c:pt idx="25">
                  <c:v>1.8333333333333333</c:v>
                </c:pt>
                <c:pt idx="26">
                  <c:v>1.9066666666666667</c:v>
                </c:pt>
                <c:pt idx="27">
                  <c:v>1.98</c:v>
                </c:pt>
                <c:pt idx="28">
                  <c:v>2.0533333333333332</c:v>
                </c:pt>
                <c:pt idx="29">
                  <c:v>2.1266666666666665</c:v>
                </c:pt>
                <c:pt idx="30">
                  <c:v>2.2000000000000002</c:v>
                </c:pt>
                <c:pt idx="31">
                  <c:v>2.2733333333333334</c:v>
                </c:pt>
                <c:pt idx="32">
                  <c:v>2.3466666666666667</c:v>
                </c:pt>
                <c:pt idx="33">
                  <c:v>2.42</c:v>
                </c:pt>
                <c:pt idx="34">
                  <c:v>2.4933333333333332</c:v>
                </c:pt>
                <c:pt idx="35">
                  <c:v>2.5666666666666669</c:v>
                </c:pt>
                <c:pt idx="36">
                  <c:v>2.64</c:v>
                </c:pt>
                <c:pt idx="37">
                  <c:v>2.7133333333333334</c:v>
                </c:pt>
                <c:pt idx="38">
                  <c:v>2.7866666666666666</c:v>
                </c:pt>
                <c:pt idx="39">
                  <c:v>2.86</c:v>
                </c:pt>
                <c:pt idx="40">
                  <c:v>2.9333333333333336</c:v>
                </c:pt>
                <c:pt idx="41">
                  <c:v>3.0066666666666668</c:v>
                </c:pt>
                <c:pt idx="42">
                  <c:v>3.08</c:v>
                </c:pt>
                <c:pt idx="43">
                  <c:v>3.1533333333333333</c:v>
                </c:pt>
                <c:pt idx="44">
                  <c:v>3.2266666666666666</c:v>
                </c:pt>
                <c:pt idx="45">
                  <c:v>3.3</c:v>
                </c:pt>
                <c:pt idx="46">
                  <c:v>3.3733333333333335</c:v>
                </c:pt>
                <c:pt idx="47">
                  <c:v>3.4466666666666668</c:v>
                </c:pt>
                <c:pt idx="48">
                  <c:v>3.52</c:v>
                </c:pt>
                <c:pt idx="49">
                  <c:v>3.5933333333333333</c:v>
                </c:pt>
                <c:pt idx="50">
                  <c:v>3.6666666666666665</c:v>
                </c:pt>
                <c:pt idx="51">
                  <c:v>3.74</c:v>
                </c:pt>
                <c:pt idx="52">
                  <c:v>3.8133333333333335</c:v>
                </c:pt>
                <c:pt idx="53">
                  <c:v>3.8866666666666667</c:v>
                </c:pt>
                <c:pt idx="54">
                  <c:v>3.96</c:v>
                </c:pt>
                <c:pt idx="55">
                  <c:v>4.0333333333333332</c:v>
                </c:pt>
                <c:pt idx="56">
                  <c:v>4.1066666666666665</c:v>
                </c:pt>
                <c:pt idx="57">
                  <c:v>4.18</c:v>
                </c:pt>
                <c:pt idx="58">
                  <c:v>4.253333333333333</c:v>
                </c:pt>
                <c:pt idx="59">
                  <c:v>4.3266666666666671</c:v>
                </c:pt>
                <c:pt idx="60">
                  <c:v>4.4000000000000004</c:v>
                </c:pt>
                <c:pt idx="61">
                  <c:v>4.4733333333333336</c:v>
                </c:pt>
                <c:pt idx="62">
                  <c:v>4.5466666666666669</c:v>
                </c:pt>
                <c:pt idx="63">
                  <c:v>4.62</c:v>
                </c:pt>
                <c:pt idx="64">
                  <c:v>4.6933333333333334</c:v>
                </c:pt>
                <c:pt idx="65">
                  <c:v>4.7666666666666666</c:v>
                </c:pt>
                <c:pt idx="66">
                  <c:v>4.84</c:v>
                </c:pt>
                <c:pt idx="67">
                  <c:v>4.9133333333333331</c:v>
                </c:pt>
                <c:pt idx="68">
                  <c:v>4.9866666666666664</c:v>
                </c:pt>
                <c:pt idx="69">
                  <c:v>5.0599999999999996</c:v>
                </c:pt>
                <c:pt idx="70">
                  <c:v>5.1333333333333337</c:v>
                </c:pt>
                <c:pt idx="71">
                  <c:v>5.206666666666667</c:v>
                </c:pt>
                <c:pt idx="72">
                  <c:v>5.28</c:v>
                </c:pt>
                <c:pt idx="73">
                  <c:v>5.3533333333333335</c:v>
                </c:pt>
                <c:pt idx="74">
                  <c:v>5.4266666666666667</c:v>
                </c:pt>
                <c:pt idx="75">
                  <c:v>5.5</c:v>
                </c:pt>
                <c:pt idx="76">
                  <c:v>5.5733333333333333</c:v>
                </c:pt>
                <c:pt idx="77">
                  <c:v>5.6466666666666665</c:v>
                </c:pt>
                <c:pt idx="78">
                  <c:v>5.72</c:v>
                </c:pt>
                <c:pt idx="79">
                  <c:v>5.793333333333333</c:v>
                </c:pt>
                <c:pt idx="80">
                  <c:v>5.8666666666666671</c:v>
                </c:pt>
                <c:pt idx="81">
                  <c:v>5.94</c:v>
                </c:pt>
                <c:pt idx="82">
                  <c:v>6.0133333333333336</c:v>
                </c:pt>
                <c:pt idx="83">
                  <c:v>6.0866666666666669</c:v>
                </c:pt>
                <c:pt idx="84">
                  <c:v>6.16</c:v>
                </c:pt>
                <c:pt idx="85">
                  <c:v>6.2333333333333334</c:v>
                </c:pt>
                <c:pt idx="86">
                  <c:v>6.3066666666666666</c:v>
                </c:pt>
                <c:pt idx="87">
                  <c:v>6.38</c:v>
                </c:pt>
                <c:pt idx="88">
                  <c:v>6.4533333333333331</c:v>
                </c:pt>
                <c:pt idx="89">
                  <c:v>6.5266666666666664</c:v>
                </c:pt>
                <c:pt idx="90">
                  <c:v>6.6</c:v>
                </c:pt>
                <c:pt idx="91">
                  <c:v>6.6733333333333338</c:v>
                </c:pt>
                <c:pt idx="92">
                  <c:v>6.746666666666667</c:v>
                </c:pt>
                <c:pt idx="93">
                  <c:v>6.82</c:v>
                </c:pt>
                <c:pt idx="94">
                  <c:v>6.8933333333333335</c:v>
                </c:pt>
                <c:pt idx="95">
                  <c:v>6.9666666666666668</c:v>
                </c:pt>
                <c:pt idx="96">
                  <c:v>7.04</c:v>
                </c:pt>
                <c:pt idx="97">
                  <c:v>7.1133333333333333</c:v>
                </c:pt>
                <c:pt idx="98">
                  <c:v>7.1866666666666665</c:v>
                </c:pt>
                <c:pt idx="99">
                  <c:v>7.26</c:v>
                </c:pt>
                <c:pt idx="100">
                  <c:v>7.333333333333333</c:v>
                </c:pt>
                <c:pt idx="101">
                  <c:v>7.4066666666666663</c:v>
                </c:pt>
                <c:pt idx="102">
                  <c:v>7.48</c:v>
                </c:pt>
                <c:pt idx="103">
                  <c:v>7.5533333333333337</c:v>
                </c:pt>
                <c:pt idx="104">
                  <c:v>7.6266666666666669</c:v>
                </c:pt>
                <c:pt idx="105">
                  <c:v>7.7</c:v>
                </c:pt>
                <c:pt idx="106">
                  <c:v>7.7733333333333334</c:v>
                </c:pt>
                <c:pt idx="107">
                  <c:v>7.8466666666666667</c:v>
                </c:pt>
                <c:pt idx="108">
                  <c:v>7.92</c:v>
                </c:pt>
                <c:pt idx="109">
                  <c:v>7.9933333333333332</c:v>
                </c:pt>
                <c:pt idx="110">
                  <c:v>8.0666666666666664</c:v>
                </c:pt>
                <c:pt idx="111">
                  <c:v>8.14</c:v>
                </c:pt>
                <c:pt idx="112">
                  <c:v>8.2133333333333329</c:v>
                </c:pt>
                <c:pt idx="113">
                  <c:v>8.2866666666666671</c:v>
                </c:pt>
                <c:pt idx="114">
                  <c:v>8.36</c:v>
                </c:pt>
                <c:pt idx="115">
                  <c:v>8.4333333333333336</c:v>
                </c:pt>
                <c:pt idx="116">
                  <c:v>8.5066666666666659</c:v>
                </c:pt>
                <c:pt idx="117">
                  <c:v>8.58</c:v>
                </c:pt>
                <c:pt idx="118">
                  <c:v>8.6533333333333342</c:v>
                </c:pt>
                <c:pt idx="119">
                  <c:v>8.7266666666666666</c:v>
                </c:pt>
                <c:pt idx="120">
                  <c:v>8.8000000000000007</c:v>
                </c:pt>
                <c:pt idx="121">
                  <c:v>8.8733333333333331</c:v>
                </c:pt>
                <c:pt idx="122">
                  <c:v>8.9466666666666672</c:v>
                </c:pt>
                <c:pt idx="123">
                  <c:v>9.02</c:v>
                </c:pt>
                <c:pt idx="124">
                  <c:v>9.0933333333333337</c:v>
                </c:pt>
                <c:pt idx="125">
                  <c:v>9.1666666666666661</c:v>
                </c:pt>
                <c:pt idx="126">
                  <c:v>9.24</c:v>
                </c:pt>
                <c:pt idx="127">
                  <c:v>9.3133333333333326</c:v>
                </c:pt>
                <c:pt idx="128">
                  <c:v>9.3866666666666667</c:v>
                </c:pt>
                <c:pt idx="129">
                  <c:v>9.4600000000000009</c:v>
                </c:pt>
                <c:pt idx="130">
                  <c:v>9.5333333333333332</c:v>
                </c:pt>
                <c:pt idx="131">
                  <c:v>9.6066666666666674</c:v>
                </c:pt>
                <c:pt idx="132">
                  <c:v>9.68</c:v>
                </c:pt>
                <c:pt idx="133">
                  <c:v>9.7533333333333339</c:v>
                </c:pt>
                <c:pt idx="134">
                  <c:v>9.8266666666666662</c:v>
                </c:pt>
                <c:pt idx="135">
                  <c:v>9.9</c:v>
                </c:pt>
                <c:pt idx="136">
                  <c:v>9.9733333333333327</c:v>
                </c:pt>
                <c:pt idx="137">
                  <c:v>10.046666666666667</c:v>
                </c:pt>
                <c:pt idx="138">
                  <c:v>10.119999999999999</c:v>
                </c:pt>
                <c:pt idx="139">
                  <c:v>10.193333333333333</c:v>
                </c:pt>
                <c:pt idx="140">
                  <c:v>10.266666666666667</c:v>
                </c:pt>
                <c:pt idx="141">
                  <c:v>10.34</c:v>
                </c:pt>
                <c:pt idx="142">
                  <c:v>10.413333333333334</c:v>
                </c:pt>
                <c:pt idx="143">
                  <c:v>10.486666666666666</c:v>
                </c:pt>
                <c:pt idx="144">
                  <c:v>10.56</c:v>
                </c:pt>
                <c:pt idx="145">
                  <c:v>10.633333333333333</c:v>
                </c:pt>
                <c:pt idx="146">
                  <c:v>10.706666666666667</c:v>
                </c:pt>
                <c:pt idx="147">
                  <c:v>10.78</c:v>
                </c:pt>
                <c:pt idx="148">
                  <c:v>10.853333333333333</c:v>
                </c:pt>
                <c:pt idx="149">
                  <c:v>10.926666666666666</c:v>
                </c:pt>
                <c:pt idx="150">
                  <c:v>11</c:v>
                </c:pt>
              </c:numCache>
            </c:numRef>
          </c:xVal>
          <c:yVal>
            <c:numRef>
              <c:f>Eff_vs_IOUT!$AP$7:$AP$157</c:f>
              <c:numCache>
                <c:formatCode>General</c:formatCode>
                <c:ptCount val="151"/>
                <c:pt idx="0">
                  <c:v>0</c:v>
                </c:pt>
                <c:pt idx="1">
                  <c:v>4.2256245429259066E-4</c:v>
                </c:pt>
                <c:pt idx="2">
                  <c:v>1.1951871076204856E-3</c:v>
                </c:pt>
                <c:pt idx="3">
                  <c:v>2.1956989206173049E-3</c:v>
                </c:pt>
                <c:pt idx="4">
                  <c:v>3.3804996343407266E-3</c:v>
                </c:pt>
                <c:pt idx="5">
                  <c:v>4.7243918626869051E-3</c:v>
                </c:pt>
                <c:pt idx="6">
                  <c:v>6.2103743848499196E-3</c:v>
                </c:pt>
                <c:pt idx="7">
                  <c:v>7.8259661721590511E-3</c:v>
                </c:pt>
                <c:pt idx="8">
                  <c:v>9.5614968609638862E-3</c:v>
                </c:pt>
                <c:pt idx="9">
                  <c:v>1.1409186265899944E-2</c:v>
                </c:pt>
                <c:pt idx="10">
                  <c:v>1.3362598092353824E-2</c:v>
                </c:pt>
                <c:pt idx="11">
                  <c:v>1.5416292225182494E-2</c:v>
                </c:pt>
                <c:pt idx="12">
                  <c:v>1.7565591364938443E-2</c:v>
                </c:pt>
                <c:pt idx="13">
                  <c:v>1.980641774849198E-2</c:v>
                </c:pt>
                <c:pt idx="14">
                  <c:v>2.213517499868076E-2</c:v>
                </c:pt>
                <c:pt idx="15">
                  <c:v>2.454866022311606E-2</c:v>
                </c:pt>
                <c:pt idx="16">
                  <c:v>2.7043997074725802E-2</c:v>
                </c:pt>
                <c:pt idx="17">
                  <c:v>2.9644953727617069E-2</c:v>
                </c:pt>
                <c:pt idx="18">
                  <c:v>3.2402115185950417E-2</c:v>
                </c:pt>
                <c:pt idx="19">
                  <c:v>3.5316828727617079E-2</c:v>
                </c:pt>
                <c:pt idx="20">
                  <c:v>3.8389094352617087E-2</c:v>
                </c:pt>
                <c:pt idx="21">
                  <c:v>4.1618912060950412E-2</c:v>
                </c:pt>
                <c:pt idx="22">
                  <c:v>4.5006281852617076E-2</c:v>
                </c:pt>
                <c:pt idx="23">
                  <c:v>4.8551203727617093E-2</c:v>
                </c:pt>
                <c:pt idx="24">
                  <c:v>5.2253677685950406E-2</c:v>
                </c:pt>
                <c:pt idx="25">
                  <c:v>5.6113703727617092E-2</c:v>
                </c:pt>
                <c:pt idx="26">
                  <c:v>6.013128185261709E-2</c:v>
                </c:pt>
                <c:pt idx="27">
                  <c:v>6.4306412060950405E-2</c:v>
                </c:pt>
                <c:pt idx="28">
                  <c:v>6.8639094352617072E-2</c:v>
                </c:pt>
                <c:pt idx="29">
                  <c:v>7.3129328727617057E-2</c:v>
                </c:pt>
                <c:pt idx="30">
                  <c:v>7.7777115185950443E-2</c:v>
                </c:pt>
                <c:pt idx="31">
                  <c:v>8.2582453727617092E-2</c:v>
                </c:pt>
                <c:pt idx="32">
                  <c:v>8.7545344352617085E-2</c:v>
                </c:pt>
                <c:pt idx="33">
                  <c:v>9.2665787060950383E-2</c:v>
                </c:pt>
                <c:pt idx="34">
                  <c:v>9.7943781852617096E-2</c:v>
                </c:pt>
                <c:pt idx="35">
                  <c:v>0.10337932872761711</c:v>
                </c:pt>
                <c:pt idx="36">
                  <c:v>0.10897242768595042</c:v>
                </c:pt>
                <c:pt idx="37">
                  <c:v>0.11472307872761713</c:v>
                </c:pt>
                <c:pt idx="38">
                  <c:v>0.12063128185261704</c:v>
                </c:pt>
                <c:pt idx="39">
                  <c:v>0.12669703706095034</c:v>
                </c:pt>
                <c:pt idx="40">
                  <c:v>0.1329203443526171</c:v>
                </c:pt>
                <c:pt idx="41">
                  <c:v>0.13930120372761712</c:v>
                </c:pt>
                <c:pt idx="42">
                  <c:v>0.14583961518595043</c:v>
                </c:pt>
                <c:pt idx="43">
                  <c:v>0.15253557872761705</c:v>
                </c:pt>
                <c:pt idx="44">
                  <c:v>0.15938909435261706</c:v>
                </c:pt>
                <c:pt idx="45">
                  <c:v>0.16640016206095043</c:v>
                </c:pt>
                <c:pt idx="46">
                  <c:v>0.17356878185261712</c:v>
                </c:pt>
                <c:pt idx="47">
                  <c:v>0.18089495372761702</c:v>
                </c:pt>
                <c:pt idx="48">
                  <c:v>0.18837867768595043</c:v>
                </c:pt>
                <c:pt idx="49">
                  <c:v>0.1960199537276171</c:v>
                </c:pt>
                <c:pt idx="50">
                  <c:v>0.20381878185261709</c:v>
                </c:pt>
                <c:pt idx="51">
                  <c:v>0.2117751620609504</c:v>
                </c:pt>
                <c:pt idx="52">
                  <c:v>0.219889094352617</c:v>
                </c:pt>
                <c:pt idx="53">
                  <c:v>0.22816057872761708</c:v>
                </c:pt>
                <c:pt idx="54">
                  <c:v>0.23658961518595034</c:v>
                </c:pt>
                <c:pt idx="55">
                  <c:v>0.24517620372761711</c:v>
                </c:pt>
                <c:pt idx="56">
                  <c:v>0.25392034435261707</c:v>
                </c:pt>
                <c:pt idx="57">
                  <c:v>0.26282203706095042</c:v>
                </c:pt>
                <c:pt idx="58">
                  <c:v>0.27188128185261701</c:v>
                </c:pt>
                <c:pt idx="59">
                  <c:v>0.28109807872761705</c:v>
                </c:pt>
                <c:pt idx="60">
                  <c:v>0.2904724276859505</c:v>
                </c:pt>
                <c:pt idx="61">
                  <c:v>0.30000432872761712</c:v>
                </c:pt>
                <c:pt idx="62">
                  <c:v>0.30969378185261709</c:v>
                </c:pt>
                <c:pt idx="63">
                  <c:v>0.31954078706095046</c:v>
                </c:pt>
                <c:pt idx="64">
                  <c:v>0.32954534435261706</c:v>
                </c:pt>
                <c:pt idx="65">
                  <c:v>0.33970745372761707</c:v>
                </c:pt>
                <c:pt idx="66">
                  <c:v>0.35002711518595037</c:v>
                </c:pt>
                <c:pt idx="67">
                  <c:v>0.36050432872761712</c:v>
                </c:pt>
                <c:pt idx="68">
                  <c:v>0.37113909435261699</c:v>
                </c:pt>
                <c:pt idx="69">
                  <c:v>0.38193141206095033</c:v>
                </c:pt>
                <c:pt idx="70">
                  <c:v>0.39288128185261711</c:v>
                </c:pt>
                <c:pt idx="71">
                  <c:v>0.40398870372761697</c:v>
                </c:pt>
                <c:pt idx="72">
                  <c:v>0.41525367768595034</c:v>
                </c:pt>
                <c:pt idx="73">
                  <c:v>0.42667620372761716</c:v>
                </c:pt>
                <c:pt idx="74">
                  <c:v>0.43825628185261728</c:v>
                </c:pt>
                <c:pt idx="75">
                  <c:v>0.44999391206095046</c:v>
                </c:pt>
                <c:pt idx="76">
                  <c:v>0.4618890943526171</c:v>
                </c:pt>
                <c:pt idx="77">
                  <c:v>0.47394182872761692</c:v>
                </c:pt>
                <c:pt idx="78">
                  <c:v>0.48615211518595036</c:v>
                </c:pt>
                <c:pt idx="79">
                  <c:v>0.49851995372761698</c:v>
                </c:pt>
                <c:pt idx="80">
                  <c:v>0.51104534435261695</c:v>
                </c:pt>
                <c:pt idx="81">
                  <c:v>0.52372828706095054</c:v>
                </c:pt>
                <c:pt idx="82">
                  <c:v>0.53656878185261714</c:v>
                </c:pt>
                <c:pt idx="83">
                  <c:v>0.5495668287276172</c:v>
                </c:pt>
                <c:pt idx="84">
                  <c:v>0.56272242768595038</c:v>
                </c:pt>
                <c:pt idx="85">
                  <c:v>0.57603557872761724</c:v>
                </c:pt>
                <c:pt idx="86">
                  <c:v>0.58950628185261711</c:v>
                </c:pt>
                <c:pt idx="87">
                  <c:v>0.60313453706095033</c:v>
                </c:pt>
                <c:pt idx="88">
                  <c:v>0.616920344352617</c:v>
                </c:pt>
                <c:pt idx="89">
                  <c:v>0.63086370372761702</c:v>
                </c:pt>
                <c:pt idx="90">
                  <c:v>0.6449646151859505</c:v>
                </c:pt>
                <c:pt idx="91">
                  <c:v>0.6592230787276171</c:v>
                </c:pt>
                <c:pt idx="92">
                  <c:v>0.67363909435261737</c:v>
                </c:pt>
                <c:pt idx="93">
                  <c:v>0.68821266206095066</c:v>
                </c:pt>
                <c:pt idx="94">
                  <c:v>0.70294378185261697</c:v>
                </c:pt>
                <c:pt idx="95">
                  <c:v>0.71783245372761706</c:v>
                </c:pt>
                <c:pt idx="96">
                  <c:v>0.7328786776859505</c:v>
                </c:pt>
                <c:pt idx="97">
                  <c:v>0.74808245372761728</c:v>
                </c:pt>
                <c:pt idx="98">
                  <c:v>0.76344378185261697</c:v>
                </c:pt>
                <c:pt idx="99">
                  <c:v>0.77896266206095066</c:v>
                </c:pt>
                <c:pt idx="100">
                  <c:v>0.79463909435261726</c:v>
                </c:pt>
                <c:pt idx="101">
                  <c:v>0.81047307872761676</c:v>
                </c:pt>
                <c:pt idx="102">
                  <c:v>0.82646461518595049</c:v>
                </c:pt>
                <c:pt idx="103">
                  <c:v>0.84261370372761724</c:v>
                </c:pt>
                <c:pt idx="104">
                  <c:v>0.85892034435261699</c:v>
                </c:pt>
                <c:pt idx="105">
                  <c:v>0.87538453706095065</c:v>
                </c:pt>
                <c:pt idx="106">
                  <c:v>0.8920062818526171</c:v>
                </c:pt>
                <c:pt idx="107">
                  <c:v>0.90878557872761712</c:v>
                </c:pt>
                <c:pt idx="108">
                  <c:v>0.92572242768595014</c:v>
                </c:pt>
                <c:pt idx="109">
                  <c:v>0.94281682872761674</c:v>
                </c:pt>
                <c:pt idx="110">
                  <c:v>0.96006878185261701</c:v>
                </c:pt>
                <c:pt idx="111">
                  <c:v>0.97747828706095041</c:v>
                </c:pt>
                <c:pt idx="112">
                  <c:v>0.99504534435261682</c:v>
                </c:pt>
                <c:pt idx="113">
                  <c:v>1.0127699537276174</c:v>
                </c:pt>
                <c:pt idx="114">
                  <c:v>1.0306521151859505</c:v>
                </c:pt>
                <c:pt idx="115">
                  <c:v>1.0486918287276172</c:v>
                </c:pt>
                <c:pt idx="116">
                  <c:v>1.0668890943526166</c:v>
                </c:pt>
                <c:pt idx="117">
                  <c:v>1.0852439120609503</c:v>
                </c:pt>
                <c:pt idx="118">
                  <c:v>1.1037562818526172</c:v>
                </c:pt>
                <c:pt idx="119">
                  <c:v>1.1224262037276169</c:v>
                </c:pt>
                <c:pt idx="120">
                  <c:v>1.1412536776859508</c:v>
                </c:pt>
                <c:pt idx="121">
                  <c:v>1.1602387037276169</c:v>
                </c:pt>
                <c:pt idx="122">
                  <c:v>1.1793812818526175</c:v>
                </c:pt>
                <c:pt idx="123">
                  <c:v>1.1986814120609501</c:v>
                </c:pt>
                <c:pt idx="124">
                  <c:v>1.2181390943526171</c:v>
                </c:pt>
                <c:pt idx="125">
                  <c:v>1.2377543287276171</c:v>
                </c:pt>
                <c:pt idx="126">
                  <c:v>1.2575271151859504</c:v>
                </c:pt>
                <c:pt idx="127">
                  <c:v>1.2774574537276171</c:v>
                </c:pt>
                <c:pt idx="128">
                  <c:v>1.2975453443526173</c:v>
                </c:pt>
                <c:pt idx="129">
                  <c:v>1.3177907870609507</c:v>
                </c:pt>
                <c:pt idx="130">
                  <c:v>1.3381937818526168</c:v>
                </c:pt>
                <c:pt idx="131">
                  <c:v>1.3587543287276171</c:v>
                </c:pt>
                <c:pt idx="132">
                  <c:v>1.37947242768595</c:v>
                </c:pt>
                <c:pt idx="133">
                  <c:v>1.4003480787276175</c:v>
                </c:pt>
                <c:pt idx="134">
                  <c:v>1.421381281852617</c:v>
                </c:pt>
                <c:pt idx="135">
                  <c:v>1.4425720370609503</c:v>
                </c:pt>
                <c:pt idx="136">
                  <c:v>1.463920344352617</c:v>
                </c:pt>
                <c:pt idx="137">
                  <c:v>1.4854262037276171</c:v>
                </c:pt>
                <c:pt idx="138">
                  <c:v>1.5070896151859501</c:v>
                </c:pt>
                <c:pt idx="139">
                  <c:v>1.5289105787276169</c:v>
                </c:pt>
                <c:pt idx="140">
                  <c:v>1.550889094352617</c:v>
                </c:pt>
                <c:pt idx="141">
                  <c:v>1.5730251620609506</c:v>
                </c:pt>
                <c:pt idx="142">
                  <c:v>1.5953187818526164</c:v>
                </c:pt>
                <c:pt idx="143">
                  <c:v>1.6177699537276167</c:v>
                </c:pt>
                <c:pt idx="144">
                  <c:v>1.6403786776859499</c:v>
                </c:pt>
                <c:pt idx="145">
                  <c:v>1.6631449537276162</c:v>
                </c:pt>
                <c:pt idx="146">
                  <c:v>1.6860687818526168</c:v>
                </c:pt>
                <c:pt idx="147">
                  <c:v>1.7091501620609504</c:v>
                </c:pt>
                <c:pt idx="148">
                  <c:v>1.7323890943526175</c:v>
                </c:pt>
                <c:pt idx="149">
                  <c:v>1.7557855787276164</c:v>
                </c:pt>
                <c:pt idx="150">
                  <c:v>1.7793396151859506</c:v>
                </c:pt>
              </c:numCache>
            </c:numRef>
          </c:yVal>
          <c:smooth val="1"/>
          <c:extLst>
            <c:ext xmlns:c16="http://schemas.microsoft.com/office/drawing/2014/chart" uri="{C3380CC4-5D6E-409C-BE32-E72D297353CC}">
              <c16:uniqueId val="{00000003-3346-4488-BAA1-46FD455F8B2C}"/>
            </c:ext>
          </c:extLst>
        </c:ser>
        <c:dLbls>
          <c:showLegendKey val="0"/>
          <c:showVal val="0"/>
          <c:showCatName val="0"/>
          <c:showSerName val="0"/>
          <c:showPercent val="0"/>
          <c:showBubbleSize val="0"/>
        </c:dLbls>
        <c:axId val="543660288"/>
        <c:axId val="543658752"/>
      </c:scatterChart>
      <c:valAx>
        <c:axId val="224130176"/>
        <c:scaling>
          <c:orientation val="minMax"/>
          <c:max val="6"/>
        </c:scaling>
        <c:delete val="0"/>
        <c:axPos val="b"/>
        <c:majorGridlines/>
        <c:numFmt formatCode="General" sourceLinked="1"/>
        <c:majorTickMark val="out"/>
        <c:minorTickMark val="none"/>
        <c:tickLblPos val="nextTo"/>
        <c:crossAx val="224131712"/>
        <c:crosses val="autoZero"/>
        <c:crossBetween val="midCat"/>
      </c:valAx>
      <c:valAx>
        <c:axId val="224131712"/>
        <c:scaling>
          <c:orientation val="minMax"/>
          <c:max val="100"/>
          <c:min val="6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224130176"/>
        <c:crosses val="autoZero"/>
        <c:crossBetween val="midCat"/>
      </c:valAx>
      <c:valAx>
        <c:axId val="543658752"/>
        <c:scaling>
          <c:orientation val="minMax"/>
        </c:scaling>
        <c:delete val="0"/>
        <c:axPos val="r"/>
        <c:numFmt formatCode="General" sourceLinked="1"/>
        <c:majorTickMark val="out"/>
        <c:minorTickMark val="none"/>
        <c:tickLblPos val="nextTo"/>
        <c:crossAx val="543660288"/>
        <c:crosses val="max"/>
        <c:crossBetween val="midCat"/>
      </c:valAx>
      <c:valAx>
        <c:axId val="543660288"/>
        <c:scaling>
          <c:orientation val="minMax"/>
        </c:scaling>
        <c:delete val="1"/>
        <c:axPos val="b"/>
        <c:numFmt formatCode="General" sourceLinked="1"/>
        <c:majorTickMark val="out"/>
        <c:minorTickMark val="none"/>
        <c:tickLblPos val="nextTo"/>
        <c:crossAx val="543658752"/>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2" fmlaRange="$1:$1048576" noThreeD="1" sel="5" val="4"/>
</file>

<file path=xl/ctrlProps/ctrlProp10.xml><?xml version="1.0" encoding="utf-8"?>
<formControlPr xmlns="http://schemas.microsoft.com/office/spreadsheetml/2009/9/main" objectType="Drop" dropLines="2" dropStyle="combo" dx="22" fmlaLink="Variable_Management!$B$154" fmlaRange="Lists!$R$8:$R$9" noThreeD="1" sel="2" val="0"/>
</file>

<file path=xl/ctrlProps/ctrlProp11.xml><?xml version="1.0" encoding="utf-8"?>
<formControlPr xmlns="http://schemas.microsoft.com/office/spreadsheetml/2009/9/main" objectType="Drop" dropLines="2" dropStyle="combo" dx="22" fmlaLink="Variable_Management!$B$155" fmlaRange="Lists!$R$11:$R$12" noThreeD="1" sel="1" val="0"/>
</file>

<file path=xl/ctrlProps/ctrlProp12.xml><?xml version="1.0" encoding="utf-8"?>
<formControlPr xmlns="http://schemas.microsoft.com/office/spreadsheetml/2009/9/main" objectType="Drop" dropLines="2" dropStyle="combo" dx="22" fmlaLink="Variable_Management!$B$156" fmlaRange="Lists!$R$14:$R$15" noThreeD="1" sel="1" val="0"/>
</file>

<file path=xl/ctrlProps/ctrlProp13.xml><?xml version="1.0" encoding="utf-8"?>
<formControlPr xmlns="http://schemas.microsoft.com/office/spreadsheetml/2009/9/main" objectType="Drop" dropLines="4" dropStyle="combo" dx="22" fmlaLink="Variable_Management!$B$160" fmlaRange="Lists!$L$20:$L$23" noThreeD="1" sel="1" val="0"/>
</file>

<file path=xl/ctrlProps/ctrlProp14.xml><?xml version="1.0" encoding="utf-8"?>
<formControlPr xmlns="http://schemas.microsoft.com/office/spreadsheetml/2009/9/main" objectType="Drop" dropLines="2" dropStyle="combo" dx="22" fmlaLink="Variable_Management!$B$162" fmlaRange="Lists!$L$26:$L$27" noThreeD="1" sel="2" val="0"/>
</file>

<file path=xl/ctrlProps/ctrlProp15.xml><?xml version="1.0" encoding="utf-8"?>
<formControlPr xmlns="http://schemas.microsoft.com/office/spreadsheetml/2009/9/main" objectType="Drop" dropLines="2" dropStyle="combo" dx="22" fmlaLink="Variable_Management!$B$7" fmlaRange="Lists!$V$3:$V$4" noThreeD="1" sel="1" val="0"/>
</file>

<file path=xl/ctrlProps/ctrlProp2.xml><?xml version="1.0" encoding="utf-8"?>
<formControlPr xmlns="http://schemas.microsoft.com/office/spreadsheetml/2009/9/main" objectType="Spin" dx="20" fmlaLink="$H$8" max="45" noThreeD="1" page="10" val="14"/>
</file>

<file path=xl/ctrlProps/ctrlProp3.xml><?xml version="1.0" encoding="utf-8"?>
<formControlPr xmlns="http://schemas.microsoft.com/office/spreadsheetml/2009/9/main" objectType="Spin" dx="20" fmlaLink="$H$10" max="60" min="6" noThreeD="1" page="10" val="45"/>
</file>

<file path=xl/ctrlProps/ctrlProp4.xml><?xml version="1.0" encoding="utf-8"?>
<formControlPr xmlns="http://schemas.microsoft.com/office/spreadsheetml/2009/9/main" objectType="Spin" dx="20" fmlaLink="$H$11" max="60" noThreeD="1" page="10" val="22"/>
</file>

<file path=xl/ctrlProps/ctrlProp5.xml><?xml version="1.0" encoding="utf-8"?>
<formControlPr xmlns="http://schemas.microsoft.com/office/spreadsheetml/2009/9/main" objectType="Spin" dx="20" fmlaLink="$H$15" max="8" min="1" noThreeD="1" page="10" val="2"/>
</file>

<file path=xl/ctrlProps/ctrlProp6.xml><?xml version="1.0" encoding="utf-8"?>
<formControlPr xmlns="http://schemas.microsoft.com/office/spreadsheetml/2009/9/main" objectType="Spin" dx="20" fmlaLink="$H$15" max="4" min="1" noThreeD="1" page="10" val="2"/>
</file>

<file path=xl/ctrlProps/ctrlProp7.xml><?xml version="1.0" encoding="utf-8"?>
<formControlPr xmlns="http://schemas.microsoft.com/office/spreadsheetml/2009/9/main" objectType="Drop" dropLines="2" dropStyle="combo" dx="22" fmlaLink="Variable_Management!$B$149" fmlaRange="Lists!$D$3:$D$4" noThreeD="1" sel="1" val="0"/>
</file>

<file path=xl/ctrlProps/ctrlProp8.xml><?xml version="1.0" encoding="utf-8"?>
<formControlPr xmlns="http://schemas.microsoft.com/office/spreadsheetml/2009/9/main" objectType="Drop" dropStyle="combo" dx="22" fmlaLink="Variable_Management!$B$147" fmlaRange="Lists!$C$3:$C$10" noThreeD="1" sel="3" val="0"/>
</file>

<file path=xl/ctrlProps/ctrlProp9.xml><?xml version="1.0" encoding="utf-8"?>
<formControlPr xmlns="http://schemas.microsoft.com/office/spreadsheetml/2009/9/main" objectType="Drop" dropLines="4" dropStyle="combo" dx="22" fmlaLink="Variable_Management!$B$152" fmlaRange="Lists!$R$3:$R$6"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5.png"/><Relationship Id="rId7"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6.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200025</xdr:colOff>
          <xdr:row>14</xdr:row>
          <xdr:rowOff>38100</xdr:rowOff>
        </xdr:from>
        <xdr:to>
          <xdr:col>18</xdr:col>
          <xdr:colOff>219075</xdr:colOff>
          <xdr:row>16</xdr:row>
          <xdr:rowOff>114300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100002</xdr:colOff>
      <xdr:row>74</xdr:row>
      <xdr:rowOff>197826</xdr:rowOff>
    </xdr:from>
    <xdr:to>
      <xdr:col>25</xdr:col>
      <xdr:colOff>502966</xdr:colOff>
      <xdr:row>109</xdr:row>
      <xdr:rowOff>182733</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92</xdr:row>
          <xdr:rowOff>0</xdr:rowOff>
        </xdr:from>
        <xdr:to>
          <xdr:col>7</xdr:col>
          <xdr:colOff>781050</xdr:colOff>
          <xdr:row>92</xdr:row>
          <xdr:rowOff>228600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49696</xdr:colOff>
      <xdr:row>111</xdr:row>
      <xdr:rowOff>55217</xdr:rowOff>
    </xdr:from>
    <xdr:to>
      <xdr:col>25</xdr:col>
      <xdr:colOff>480392</xdr:colOff>
      <xdr:row>133</xdr:row>
      <xdr:rowOff>82826</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561975</xdr:colOff>
          <xdr:row>94</xdr:row>
          <xdr:rowOff>0</xdr:rowOff>
        </xdr:from>
        <xdr:to>
          <xdr:col>7</xdr:col>
          <xdr:colOff>781050</xdr:colOff>
          <xdr:row>96</xdr:row>
          <xdr:rowOff>0</xdr:rowOff>
        </xdr:to>
        <xdr:sp macro="" textlink="">
          <xdr:nvSpPr>
            <xdr:cNvPr id="1079" name="Spinner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97</xdr:row>
          <xdr:rowOff>0</xdr:rowOff>
        </xdr:from>
        <xdr:to>
          <xdr:col>7</xdr:col>
          <xdr:colOff>781050</xdr:colOff>
          <xdr:row>97</xdr:row>
          <xdr:rowOff>219075</xdr:rowOff>
        </xdr:to>
        <xdr:sp macro="" textlink="">
          <xdr:nvSpPr>
            <xdr:cNvPr id="1080" name="Spinner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561975</xdr:colOff>
          <xdr:row>100</xdr:row>
          <xdr:rowOff>9525</xdr:rowOff>
        </xdr:from>
        <xdr:to>
          <xdr:col>7</xdr:col>
          <xdr:colOff>781050</xdr:colOff>
          <xdr:row>102</xdr:row>
          <xdr:rowOff>0</xdr:rowOff>
        </xdr:to>
        <xdr:sp macro="" textlink="">
          <xdr:nvSpPr>
            <xdr:cNvPr id="1082" name="Spinner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4</xdr:row>
          <xdr:rowOff>171450</xdr:rowOff>
        </xdr:from>
        <xdr:to>
          <xdr:col>25</xdr:col>
          <xdr:colOff>219075</xdr:colOff>
          <xdr:row>36</xdr:row>
          <xdr:rowOff>66675</xdr:rowOff>
        </xdr:to>
        <xdr:sp macro="" textlink="">
          <xdr:nvSpPr>
            <xdr:cNvPr id="1094" name="Object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14</xdr:row>
          <xdr:rowOff>0</xdr:rowOff>
        </xdr:from>
        <xdr:to>
          <xdr:col>7</xdr:col>
          <xdr:colOff>781050</xdr:colOff>
          <xdr:row>14</xdr:row>
          <xdr:rowOff>180975</xdr:rowOff>
        </xdr:to>
        <xdr:sp macro="" textlink="">
          <xdr:nvSpPr>
            <xdr:cNvPr id="1100" name="Spinner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95250</xdr:rowOff>
        </xdr:from>
        <xdr:to>
          <xdr:col>18</xdr:col>
          <xdr:colOff>19050</xdr:colOff>
          <xdr:row>58</xdr:row>
          <xdr:rowOff>95250</xdr:rowOff>
        </xdr:to>
        <xdr:sp macro="" textlink="">
          <xdr:nvSpPr>
            <xdr:cNvPr id="1112" name="Object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57150</xdr:rowOff>
        </xdr:from>
        <xdr:to>
          <xdr:col>2</xdr:col>
          <xdr:colOff>523875</xdr:colOff>
          <xdr:row>69</xdr:row>
          <xdr:rowOff>66675</xdr:rowOff>
        </xdr:to>
        <xdr:sp macro="" textlink="">
          <xdr:nvSpPr>
            <xdr:cNvPr id="1132" name="Drop Down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9525</xdr:rowOff>
        </xdr:from>
        <xdr:to>
          <xdr:col>2</xdr:col>
          <xdr:colOff>523875</xdr:colOff>
          <xdr:row>68</xdr:row>
          <xdr:rowOff>19050</xdr:rowOff>
        </xdr:to>
        <xdr:sp macro="" textlink="">
          <xdr:nvSpPr>
            <xdr:cNvPr id="1133" name="Drop Down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9525</xdr:rowOff>
        </xdr:from>
        <xdr:to>
          <xdr:col>7</xdr:col>
          <xdr:colOff>1114425</xdr:colOff>
          <xdr:row>68</xdr:row>
          <xdr:rowOff>19050</xdr:rowOff>
        </xdr:to>
        <xdr:sp macro="" textlink="">
          <xdr:nvSpPr>
            <xdr:cNvPr id="1138" name="Drop Down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57150</xdr:rowOff>
        </xdr:from>
        <xdr:to>
          <xdr:col>5</xdr:col>
          <xdr:colOff>542925</xdr:colOff>
          <xdr:row>69</xdr:row>
          <xdr:rowOff>66675</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104775</xdr:rowOff>
        </xdr:from>
        <xdr:to>
          <xdr:col>5</xdr:col>
          <xdr:colOff>542925</xdr:colOff>
          <xdr:row>70</xdr:row>
          <xdr:rowOff>114300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70</xdr:row>
          <xdr:rowOff>152400</xdr:rowOff>
        </xdr:from>
        <xdr:to>
          <xdr:col>5</xdr:col>
          <xdr:colOff>542925</xdr:colOff>
          <xdr:row>71</xdr:row>
          <xdr:rowOff>161925</xdr:rowOff>
        </xdr:to>
        <xdr:sp macro="" textlink="">
          <xdr:nvSpPr>
            <xdr:cNvPr id="1141" name="Drop Down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68</xdr:row>
          <xdr:rowOff>57150</xdr:rowOff>
        </xdr:from>
        <xdr:to>
          <xdr:col>7</xdr:col>
          <xdr:colOff>1114425</xdr:colOff>
          <xdr:row>69</xdr:row>
          <xdr:rowOff>66675</xdr:rowOff>
        </xdr:to>
        <xdr:sp macro="" textlink="">
          <xdr:nvSpPr>
            <xdr:cNvPr id="1144" name="Drop Down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69</xdr:row>
          <xdr:rowOff>104775</xdr:rowOff>
        </xdr:from>
        <xdr:to>
          <xdr:col>7</xdr:col>
          <xdr:colOff>1114425</xdr:colOff>
          <xdr:row>70</xdr:row>
          <xdr:rowOff>114300</xdr:rowOff>
        </xdr:to>
        <xdr:sp macro="" textlink="">
          <xdr:nvSpPr>
            <xdr:cNvPr id="1145" name="Drop Down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4</xdr:row>
          <xdr:rowOff>200025</xdr:rowOff>
        </xdr:from>
        <xdr:to>
          <xdr:col>8</xdr:col>
          <xdr:colOff>0</xdr:colOff>
          <xdr:row>5</xdr:row>
          <xdr:rowOff>180975</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0.11333</cdr:x>
      <cdr:y>0.76561</cdr:y>
    </cdr:from>
    <cdr:to>
      <cdr:x>0.38406</cdr:x>
      <cdr:y>0.79588</cdr:y>
    </cdr:to>
    <cdr:sp macro="" textlink="Loop_Modeling!$F$82">
      <cdr:nvSpPr>
        <cdr:cNvPr id="2" name="TextBox 14">
          <a:extLst xmlns:a="http://schemas.openxmlformats.org/drawingml/2006/main">
            <a:ext uri="{FF2B5EF4-FFF2-40B4-BE49-F238E27FC236}">
              <a16:creationId xmlns:a16="http://schemas.microsoft.com/office/drawing/2014/main" id="{B9F69107-50D7-40E8-B07A-42181AF0EA86}"/>
            </a:ext>
          </a:extLst>
        </cdr:cNvPr>
        <cdr:cNvSpPr txBox="1"/>
      </cdr:nvSpPr>
      <cdr:spPr>
        <a:xfrm xmlns:a="http://schemas.openxmlformats.org/drawingml/2006/main">
          <a:off x="1058242" y="4517049"/>
          <a:ext cx="2527931" cy="1785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35E0C87-5EDD-4A0F-8D8F-CE89327299BD}" type="TxLink">
            <a:rPr lang="en-US" sz="1200" b="1" i="0" u="none" strike="noStrike">
              <a:solidFill>
                <a:srgbClr val="FF0000"/>
              </a:solidFill>
              <a:latin typeface="Calibri"/>
              <a:ea typeface="Calibri"/>
              <a:cs typeface="Calibri"/>
            </a:rPr>
            <a:pPr/>
            <a:t>Crossover Frequency = 2.4 kHz</a:t>
          </a:fld>
          <a:endParaRPr lang="en-US" sz="2800" b="1">
            <a:solidFill>
              <a:srgbClr val="FF0000"/>
            </a:solidFill>
            <a:latin typeface="+mn-lt"/>
            <a:cs typeface="Arial" panose="020B0604020202020204" pitchFamily="34" charset="0"/>
          </a:endParaRPr>
        </a:p>
      </cdr:txBody>
    </cdr:sp>
  </cdr:relSizeAnchor>
  <cdr:relSizeAnchor xmlns:cdr="http://schemas.openxmlformats.org/drawingml/2006/chartDrawing">
    <cdr:from>
      <cdr:x>0.11255</cdr:x>
      <cdr:y>0.81318</cdr:y>
    </cdr:from>
    <cdr:to>
      <cdr:x>0.32026</cdr:x>
      <cdr:y>0.84445</cdr:y>
    </cdr:to>
    <cdr:sp macro="" textlink="Loop_Modeling!$F$83">
      <cdr:nvSpPr>
        <cdr:cNvPr id="4" name="TextBox 14">
          <a:extLst xmlns:a="http://schemas.openxmlformats.org/drawingml/2006/main">
            <a:ext uri="{FF2B5EF4-FFF2-40B4-BE49-F238E27FC236}">
              <a16:creationId xmlns:a16="http://schemas.microsoft.com/office/drawing/2014/main" id="{555BDF7A-AEF3-40F0-9C9E-42A5B5E7620C}"/>
            </a:ext>
          </a:extLst>
        </cdr:cNvPr>
        <cdr:cNvSpPr txBox="1"/>
      </cdr:nvSpPr>
      <cdr:spPr>
        <a:xfrm xmlns:a="http://schemas.openxmlformats.org/drawingml/2006/main">
          <a:off x="1047261" y="4783992"/>
          <a:ext cx="1932801" cy="1839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8F8B1BF-475A-4835-80C5-C06869B2ECFA}" type="TxLink">
            <a:rPr lang="en-US" sz="1200" b="1" i="0" u="none" strike="noStrike">
              <a:solidFill>
                <a:sysClr val="windowText" lastClr="000000"/>
              </a:solidFill>
              <a:latin typeface="Calibri"/>
              <a:ea typeface="Calibri"/>
              <a:cs typeface="Calibri"/>
            </a:rPr>
            <a:pPr/>
            <a:t>Phase Margin = 69°</a:t>
          </a:fld>
          <a:endParaRPr lang="en-US" sz="2800" b="1">
            <a:solidFill>
              <a:sysClr val="windowText" lastClr="000000"/>
            </a:solidFill>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451597</xdr:colOff>
      <xdr:row>223</xdr:row>
      <xdr:rowOff>177800</xdr:rowOff>
    </xdr:from>
    <xdr:to>
      <xdr:col>16</xdr:col>
      <xdr:colOff>350744</xdr:colOff>
      <xdr:row>226</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037047" y="33204150"/>
          <a:ext cx="3810747" cy="440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600075</xdr:colOff>
          <xdr:row>108</xdr:row>
          <xdr:rowOff>152400</xdr:rowOff>
        </xdr:from>
        <xdr:to>
          <xdr:col>11</xdr:col>
          <xdr:colOff>209550</xdr:colOff>
          <xdr:row>110</xdr:row>
          <xdr:rowOff>180975</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19051</xdr:colOff>
      <xdr:row>193</xdr:row>
      <xdr:rowOff>17931</xdr:rowOff>
    </xdr:from>
    <xdr:to>
      <xdr:col>14</xdr:col>
      <xdr:colOff>583081</xdr:colOff>
      <xdr:row>201</xdr:row>
      <xdr:rowOff>107951</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994901" y="27335631"/>
          <a:ext cx="3866030" cy="1563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p>
        <a:p>
          <a:endParaRPr lang="en-US" sz="1100" baseline="0"/>
        </a:p>
        <a:p>
          <a:r>
            <a:rPr lang="en-US" sz="1100" b="1" baseline="0"/>
            <a:t>Includes the effect of slope compensation. To help with the calculations the applicaiton note detailing component selection does not include loop compensation</a:t>
          </a:r>
          <a:endParaRPr lang="en-US" sz="1100" b="1"/>
        </a:p>
      </xdr:txBody>
    </xdr:sp>
    <xdr:clientData/>
  </xdr:twoCellAnchor>
  <xdr:twoCellAnchor>
    <xdr:from>
      <xdr:col>3</xdr:col>
      <xdr:colOff>660400</xdr:colOff>
      <xdr:row>226</xdr:row>
      <xdr:rowOff>165100</xdr:rowOff>
    </xdr:from>
    <xdr:to>
      <xdr:col>9</xdr:col>
      <xdr:colOff>311150</xdr:colOff>
      <xdr:row>230</xdr:row>
      <xdr:rowOff>88900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794250" y="33928050"/>
          <a:ext cx="549275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Flexible</a:t>
          </a:r>
          <a:r>
            <a:rPr lang="en-US" sz="1100" baseline="0"/>
            <a:t> equations see the MathCad file for these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48</xdr:col>
      <xdr:colOff>186690</xdr:colOff>
      <xdr:row>39</xdr:row>
      <xdr:rowOff>167640</xdr:rowOff>
    </xdr:from>
    <xdr:to>
      <xdr:col>50</xdr:col>
      <xdr:colOff>515248</xdr:colOff>
      <xdr:row>45</xdr:row>
      <xdr:rowOff>69931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50</xdr:col>
      <xdr:colOff>247650</xdr:colOff>
      <xdr:row>40</xdr:row>
      <xdr:rowOff>60960</xdr:rowOff>
    </xdr:from>
    <xdr:to>
      <xdr:col>54</xdr:col>
      <xdr:colOff>567929</xdr:colOff>
      <xdr:row>44</xdr:row>
      <xdr:rowOff>129611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47</xdr:col>
      <xdr:colOff>30480</xdr:colOff>
      <xdr:row>49</xdr:row>
      <xdr:rowOff>64770</xdr:rowOff>
    </xdr:from>
    <xdr:to>
      <xdr:col>58</xdr:col>
      <xdr:colOff>144780</xdr:colOff>
      <xdr:row>73</xdr:row>
      <xdr:rowOff>38100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57979</xdr:colOff>
      <xdr:row>54</xdr:row>
      <xdr:rowOff>113246</xdr:rowOff>
    </xdr:from>
    <xdr:to>
      <xdr:col>12</xdr:col>
      <xdr:colOff>141106</xdr:colOff>
      <xdr:row>65</xdr:row>
      <xdr:rowOff>121529</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617805" y="10698420"/>
          <a:ext cx="2733562" cy="2103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error amplifier is the same regardless of the mode of operation</a:t>
          </a:r>
        </a:p>
      </xdr:txBody>
    </xdr:sp>
    <xdr:clientData/>
  </xdr:twoCellAnchor>
  <xdr:twoCellAnchor>
    <xdr:from>
      <xdr:col>34</xdr:col>
      <xdr:colOff>313764</xdr:colOff>
      <xdr:row>48</xdr:row>
      <xdr:rowOff>179295</xdr:rowOff>
    </xdr:from>
    <xdr:to>
      <xdr:col>45</xdr:col>
      <xdr:colOff>438673</xdr:colOff>
      <xdr:row>72</xdr:row>
      <xdr:rowOff>152625</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0</xdr:colOff>
      <xdr:row>22</xdr:row>
      <xdr:rowOff>0</xdr:rowOff>
    </xdr:from>
    <xdr:to>
      <xdr:col>45</xdr:col>
      <xdr:colOff>97865</xdr:colOff>
      <xdr:row>45</xdr:row>
      <xdr:rowOff>144855</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0</xdr:colOff>
      <xdr:row>22</xdr:row>
      <xdr:rowOff>0</xdr:rowOff>
    </xdr:from>
    <xdr:to>
      <xdr:col>58</xdr:col>
      <xdr:colOff>269688</xdr:colOff>
      <xdr:row>45</xdr:row>
      <xdr:rowOff>144855</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76</xdr:col>
      <xdr:colOff>197810</xdr:colOff>
      <xdr:row>6</xdr:row>
      <xdr:rowOff>107149</xdr:rowOff>
    </xdr:from>
    <xdr:to>
      <xdr:col>85</xdr:col>
      <xdr:colOff>2406</xdr:colOff>
      <xdr:row>25</xdr:row>
      <xdr:rowOff>110908</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228022</xdr:colOff>
      <xdr:row>12</xdr:row>
      <xdr:rowOff>102466</xdr:rowOff>
    </xdr:from>
    <xdr:to>
      <xdr:col>66</xdr:col>
      <xdr:colOff>96573</xdr:colOff>
      <xdr:row>37</xdr:row>
      <xdr:rowOff>156894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2</xdr:col>
      <xdr:colOff>7620</xdr:colOff>
      <xdr:row>2</xdr:row>
      <xdr:rowOff>68531</xdr:rowOff>
    </xdr:to>
    <xdr:pic>
      <xdr:nvPicPr>
        <xdr:cNvPr id="12" name="Picture 11" descr="ti logo">
          <a:hlinkClick xmlns:r="http://schemas.openxmlformats.org/officeDocument/2006/relationships" r:id="rId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2670" cy="29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4</xdr:col>
      <xdr:colOff>152400</xdr:colOff>
      <xdr:row>1</xdr:row>
      <xdr:rowOff>28575</xdr:rowOff>
    </xdr:from>
    <xdr:ext cx="4719497" cy="254557"/>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600-00000E000000}"/>
            </a:ext>
          </a:extLst>
        </xdr:cNvPr>
        <xdr:cNvSpPr txBox="1"/>
      </xdr:nvSpPr>
      <xdr:spPr>
        <a:xfrm>
          <a:off x="4581525" y="219075"/>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352927"/>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95247" y="1190623"/>
          <a:ext cx="11229977" cy="43529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mn-lt"/>
              <a:ea typeface="+mn-ea"/>
              <a:cs typeface="+mn-cs"/>
            </a:rPr>
            <a:t>IMPORTANT NOTICE AND DISCLAIMER</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objects to and rejects any additional or different terms you may have proposed. </a:t>
          </a:r>
        </a:p>
        <a:p>
          <a:endParaRPr lang="en-US" sz="1100" b="0" i="0" u="none" strike="noStrike" baseline="0">
            <a:solidFill>
              <a:schemeClr val="tx1"/>
            </a:solidFill>
            <a:latin typeface="+mn-lt"/>
            <a:ea typeface="+mn-ea"/>
            <a:cs typeface="+mn-cs"/>
          </a:endParaRPr>
        </a:p>
        <a:p>
          <a:endParaRPr lang="en-US" sz="1100" b="0" i="0" u="none" strike="noStrike" baseline="0">
            <a:solidFill>
              <a:schemeClr val="tx1"/>
            </a:solidFill>
            <a:latin typeface="+mn-lt"/>
            <a:ea typeface="+mn-ea"/>
            <a:cs typeface="+mn-cs"/>
          </a:endParaRPr>
        </a:p>
        <a:p>
          <a:pPr algn="ctr"/>
          <a:r>
            <a:rPr lang="en-US" sz="1100" b="0" i="0" u="none" strike="noStrike" baseline="0">
              <a:solidFill>
                <a:schemeClr val="tx1"/>
              </a:solidFill>
              <a:latin typeface="+mn-lt"/>
              <a:ea typeface="+mn-ea"/>
              <a:cs typeface="+mn-cs"/>
            </a:rPr>
            <a:t>Mailing Address: Texas Instruments, Post Office Box 655303, Dallas, Texas 75265</a:t>
          </a:r>
        </a:p>
        <a:p>
          <a:pPr algn="ctr"/>
          <a:r>
            <a:rPr lang="en-US" sz="1100" b="0" i="0" u="none" strike="noStrike" baseline="0">
              <a:solidFill>
                <a:schemeClr val="tx1"/>
              </a:solidFill>
              <a:latin typeface="+mn-lt"/>
              <a:ea typeface="+mn-ea"/>
              <a:cs typeface="+mn-cs"/>
            </a:rPr>
            <a:t>Copyright © 2025, Texas Instruments Incorporated	</a:t>
          </a:r>
        </a:p>
      </xdr:txBody>
    </xdr:sp>
    <xdr:clientData/>
  </xdr:oneCellAnchor>
  <xdr:oneCellAnchor>
    <xdr:from>
      <xdr:col>0</xdr:col>
      <xdr:colOff>99057</xdr:colOff>
      <xdr:row>30</xdr:row>
      <xdr:rowOff>16998</xdr:rowOff>
    </xdr:from>
    <xdr:ext cx="11229977" cy="634512"/>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99057" y="542719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vmlDrawing" Target="../drawings/vmlDrawing1.vml"/><Relationship Id="rId21" Type="http://schemas.openxmlformats.org/officeDocument/2006/relationships/ctrlProp" Target="../ctrlProps/ctrlProp14.xml"/><Relationship Id="rId7" Type="http://schemas.openxmlformats.org/officeDocument/2006/relationships/image" Target="../media/image2.emf"/><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drawing" Target="../drawings/drawing1.xml"/><Relationship Id="rId16" Type="http://schemas.openxmlformats.org/officeDocument/2006/relationships/ctrlProp" Target="../ctrlProps/ctrlProp9.xml"/><Relationship Id="rId20"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ctrlProp" Target="../ctrlProps/ctrlProp4.xml"/><Relationship Id="rId5" Type="http://schemas.openxmlformats.org/officeDocument/2006/relationships/image" Target="../media/image1.emf"/><Relationship Id="rId15" Type="http://schemas.openxmlformats.org/officeDocument/2006/relationships/ctrlProp" Target="../ctrlProps/ctrlProp8.xml"/><Relationship Id="rId23" Type="http://schemas.openxmlformats.org/officeDocument/2006/relationships/comments" Target="../comments1.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ackage" Target="../embeddings/Microsoft_Visio_Drawing.vsdx"/><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38"/>
  <sheetViews>
    <sheetView tabSelected="1" zoomScaleNormal="100" workbookViewId="0">
      <selection activeCell="H8" sqref="H8"/>
    </sheetView>
  </sheetViews>
  <sheetFormatPr defaultColWidth="8.7109375" defaultRowHeight="15" x14ac:dyDescent="0.25"/>
  <cols>
    <col min="1" max="6" width="8.7109375" style="116" customWidth="1"/>
    <col min="7" max="7" width="8.7109375" style="291" customWidth="1"/>
    <col min="8" max="8" width="17.5703125" style="116" customWidth="1"/>
    <col min="9" max="9" width="4.28515625" style="116" bestFit="1" customWidth="1"/>
    <col min="10" max="10" width="4.7109375" style="116" customWidth="1"/>
    <col min="11" max="20" width="8.7109375" style="116" customWidth="1"/>
    <col min="21" max="21" width="8.7109375" style="119" customWidth="1"/>
    <col min="22" max="22" width="7.28515625" style="116" customWidth="1"/>
    <col min="23" max="26" width="8.7109375" style="116" customWidth="1"/>
    <col min="27" max="27" width="1.7109375" style="151" customWidth="1"/>
    <col min="28" max="16384" width="8.7109375" style="116"/>
  </cols>
  <sheetData>
    <row r="1" spans="1:27" ht="46.9" customHeight="1" x14ac:dyDescent="0.25">
      <c r="A1" s="112"/>
      <c r="B1" s="112"/>
      <c r="C1" s="112"/>
      <c r="D1" s="112"/>
      <c r="E1" s="113" t="str">
        <f>"LM5125(A)-Q1 BOOST Controller Design Tool"</f>
        <v>LM5125(A)-Q1 BOOST Controller Design Tool</v>
      </c>
      <c r="F1" s="112"/>
      <c r="G1" s="277"/>
      <c r="H1" s="112"/>
      <c r="I1" s="112"/>
      <c r="J1" s="112"/>
      <c r="K1" s="112"/>
      <c r="L1" s="112"/>
      <c r="M1" s="112"/>
      <c r="N1" s="112"/>
      <c r="O1" s="112"/>
      <c r="P1" s="112"/>
      <c r="Q1" s="112"/>
      <c r="R1" s="112"/>
      <c r="S1" s="112"/>
      <c r="T1" s="112"/>
      <c r="U1" s="114"/>
      <c r="V1" s="112"/>
      <c r="W1" s="112"/>
      <c r="X1" s="112"/>
      <c r="Y1" s="112"/>
      <c r="Z1" s="112"/>
      <c r="AA1" s="115"/>
    </row>
    <row r="2" spans="1:27" s="119" customFormat="1" x14ac:dyDescent="0.25">
      <c r="A2" s="117"/>
      <c r="B2" s="117"/>
      <c r="C2" s="117"/>
      <c r="D2" s="117"/>
      <c r="E2" s="117"/>
      <c r="F2" s="117"/>
      <c r="G2" s="278"/>
      <c r="H2" s="117"/>
      <c r="I2" s="117"/>
      <c r="J2" s="117"/>
      <c r="K2" s="117"/>
      <c r="L2" s="117"/>
      <c r="M2" s="117"/>
      <c r="N2" s="117"/>
      <c r="O2" s="117"/>
      <c r="P2" s="117"/>
      <c r="Q2" s="117"/>
      <c r="R2" s="117"/>
      <c r="S2" s="117"/>
      <c r="T2" s="117"/>
      <c r="U2" s="117"/>
      <c r="V2" s="117"/>
      <c r="W2" s="117"/>
      <c r="X2" s="117"/>
      <c r="Y2" s="117"/>
      <c r="Z2" s="117"/>
      <c r="AA2" s="118"/>
    </row>
    <row r="3" spans="1:27" s="119" customFormat="1" x14ac:dyDescent="0.25">
      <c r="A3" s="120" t="s">
        <v>1</v>
      </c>
      <c r="B3" s="117"/>
      <c r="C3" s="117"/>
      <c r="D3" s="117"/>
      <c r="E3" s="121"/>
      <c r="F3" s="122" t="s">
        <v>2</v>
      </c>
      <c r="G3" s="278"/>
      <c r="H3" s="117"/>
      <c r="I3" s="117"/>
      <c r="J3" s="117"/>
      <c r="K3" s="117"/>
      <c r="L3" s="117"/>
      <c r="M3" s="117"/>
      <c r="N3" s="117"/>
      <c r="O3" s="255" t="s">
        <v>0</v>
      </c>
      <c r="P3" s="117"/>
      <c r="Q3" s="117"/>
      <c r="R3" s="117"/>
      <c r="S3" s="117"/>
      <c r="T3" s="117"/>
      <c r="U3" s="117"/>
      <c r="V3" s="117"/>
      <c r="W3" s="117"/>
      <c r="X3" s="117"/>
      <c r="Y3" s="117"/>
      <c r="Z3" s="117"/>
      <c r="AA3" s="118"/>
    </row>
    <row r="4" spans="1:27" s="125" customFormat="1" x14ac:dyDescent="0.25">
      <c r="A4" s="123"/>
      <c r="B4" s="123"/>
      <c r="C4" s="123"/>
      <c r="D4" s="123"/>
      <c r="E4" s="123"/>
      <c r="F4" s="123"/>
      <c r="G4" s="279"/>
      <c r="H4" s="123"/>
      <c r="I4" s="123"/>
      <c r="J4" s="123"/>
      <c r="K4" s="123"/>
      <c r="L4" s="123"/>
      <c r="M4" s="123"/>
      <c r="N4" s="123"/>
      <c r="O4" s="123"/>
      <c r="P4" s="123"/>
      <c r="Q4" s="123"/>
      <c r="R4" s="123"/>
      <c r="S4" s="123"/>
      <c r="T4" s="123"/>
      <c r="U4" s="123"/>
      <c r="V4" s="123"/>
      <c r="W4" s="123"/>
      <c r="X4" s="123"/>
      <c r="Y4" s="123"/>
      <c r="Z4" s="123"/>
      <c r="AA4" s="124"/>
    </row>
    <row r="5" spans="1:27" ht="15.75" thickBot="1" x14ac:dyDescent="0.3">
      <c r="A5" s="141" t="s">
        <v>3</v>
      </c>
      <c r="B5" s="127"/>
      <c r="C5" s="127"/>
      <c r="D5" s="127"/>
      <c r="E5" s="127"/>
      <c r="F5" s="127"/>
      <c r="G5" s="137"/>
      <c r="H5" s="347"/>
      <c r="I5" s="347"/>
      <c r="J5" s="126"/>
      <c r="K5" s="126"/>
      <c r="L5" s="126"/>
      <c r="M5" s="126"/>
      <c r="N5" s="126"/>
      <c r="O5" s="126"/>
      <c r="P5" s="126"/>
      <c r="Q5" s="126"/>
      <c r="R5" s="126"/>
      <c r="S5" s="126"/>
      <c r="T5" s="126"/>
      <c r="U5" s="127"/>
      <c r="V5" s="126"/>
      <c r="W5" s="126"/>
      <c r="X5" s="126"/>
      <c r="Y5" s="126"/>
      <c r="Z5" s="126"/>
      <c r="AA5" s="115"/>
    </row>
    <row r="6" spans="1:27" x14ac:dyDescent="0.25">
      <c r="A6" s="344"/>
      <c r="B6" s="130"/>
      <c r="C6" s="130"/>
      <c r="D6" s="130"/>
      <c r="E6" s="130"/>
      <c r="F6" s="130"/>
      <c r="G6" s="345" t="s">
        <v>759</v>
      </c>
      <c r="H6" s="127"/>
      <c r="I6" s="350" t="s">
        <v>767</v>
      </c>
      <c r="J6" s="126"/>
      <c r="K6" s="126"/>
      <c r="L6" s="126"/>
      <c r="M6" s="126"/>
      <c r="N6" s="126"/>
      <c r="O6" s="126"/>
      <c r="P6" s="126"/>
      <c r="Q6" s="126"/>
      <c r="R6" s="126"/>
      <c r="S6" s="126"/>
      <c r="T6" s="126"/>
      <c r="U6" s="127"/>
      <c r="V6" s="126"/>
      <c r="W6" s="126"/>
      <c r="X6" s="126"/>
      <c r="Y6" s="126"/>
      <c r="Z6" s="126"/>
      <c r="AA6" s="115"/>
    </row>
    <row r="7" spans="1:27" x14ac:dyDescent="0.25">
      <c r="A7" s="132"/>
      <c r="B7" s="127"/>
      <c r="C7" s="127"/>
      <c r="D7" s="127"/>
      <c r="E7" s="127"/>
      <c r="F7" s="127"/>
      <c r="G7" s="133" t="s">
        <v>690</v>
      </c>
      <c r="H7" s="153">
        <v>9</v>
      </c>
      <c r="I7" s="134" t="s">
        <v>5</v>
      </c>
      <c r="J7" s="126"/>
      <c r="K7" s="126"/>
      <c r="L7" s="126"/>
      <c r="M7" s="126"/>
      <c r="N7" s="126"/>
      <c r="O7" s="126"/>
      <c r="P7" s="126"/>
      <c r="Q7" s="126"/>
      <c r="R7" s="126"/>
      <c r="S7" s="126"/>
      <c r="T7" s="126"/>
      <c r="U7" s="127"/>
      <c r="V7" s="126"/>
      <c r="W7" s="126"/>
      <c r="X7" s="126"/>
      <c r="Y7" s="126"/>
      <c r="Z7" s="126"/>
      <c r="AA7" s="115"/>
    </row>
    <row r="8" spans="1:27" x14ac:dyDescent="0.25">
      <c r="A8" s="132"/>
      <c r="B8" s="127"/>
      <c r="C8" s="127"/>
      <c r="D8" s="127"/>
      <c r="E8" s="127"/>
      <c r="F8" s="127"/>
      <c r="G8" s="133" t="s">
        <v>691</v>
      </c>
      <c r="H8" s="153">
        <v>14.4</v>
      </c>
      <c r="I8" s="134" t="s">
        <v>5</v>
      </c>
      <c r="J8" s="126"/>
      <c r="K8" s="126"/>
      <c r="L8" s="126"/>
      <c r="M8" s="126"/>
      <c r="N8" s="126"/>
      <c r="O8" s="126"/>
      <c r="P8" s="126"/>
      <c r="Q8" s="126"/>
      <c r="R8" s="126"/>
      <c r="S8" s="126"/>
      <c r="T8" s="126"/>
      <c r="U8" s="127"/>
      <c r="V8" s="126"/>
      <c r="W8" s="126"/>
      <c r="X8" s="126"/>
      <c r="Y8" s="126"/>
      <c r="Z8" s="126"/>
      <c r="AA8" s="115"/>
    </row>
    <row r="9" spans="1:27" x14ac:dyDescent="0.25">
      <c r="A9" s="132"/>
      <c r="B9" s="127"/>
      <c r="C9" s="127"/>
      <c r="D9" s="127"/>
      <c r="E9" s="127"/>
      <c r="F9" s="127"/>
      <c r="G9" s="133" t="s">
        <v>692</v>
      </c>
      <c r="H9" s="153">
        <v>16</v>
      </c>
      <c r="I9" s="134" t="s">
        <v>5</v>
      </c>
      <c r="J9" s="126"/>
      <c r="K9" s="126"/>
      <c r="L9" s="126"/>
      <c r="M9" s="126"/>
      <c r="N9" s="126"/>
      <c r="O9" s="126"/>
      <c r="P9" s="126"/>
      <c r="Q9" s="126"/>
      <c r="R9" s="126"/>
      <c r="S9" s="126"/>
      <c r="T9" s="126"/>
      <c r="U9" s="127"/>
      <c r="V9" s="126"/>
      <c r="W9" s="126"/>
      <c r="X9" s="126"/>
      <c r="Y9" s="126"/>
      <c r="Z9" s="126"/>
      <c r="AA9" s="115"/>
    </row>
    <row r="10" spans="1:27" x14ac:dyDescent="0.25">
      <c r="A10" s="132"/>
      <c r="B10" s="127"/>
      <c r="C10" s="127"/>
      <c r="D10" s="127"/>
      <c r="E10" s="127"/>
      <c r="F10" s="127"/>
      <c r="G10" s="133" t="s">
        <v>694</v>
      </c>
      <c r="H10" s="153">
        <v>45</v>
      </c>
      <c r="I10" s="134" t="s">
        <v>5</v>
      </c>
      <c r="J10" s="126"/>
      <c r="K10" s="126"/>
      <c r="L10" s="126"/>
      <c r="M10" s="126"/>
      <c r="N10" s="126"/>
      <c r="O10" s="126"/>
      <c r="P10" s="126"/>
      <c r="Q10" s="126"/>
      <c r="R10" s="126"/>
      <c r="S10" s="126"/>
      <c r="T10" s="126"/>
      <c r="U10" s="127"/>
      <c r="V10" s="126"/>
      <c r="W10" s="126"/>
      <c r="X10" s="126"/>
      <c r="Y10" s="126"/>
      <c r="Z10" s="126"/>
      <c r="AA10" s="115"/>
    </row>
    <row r="11" spans="1:27" x14ac:dyDescent="0.25">
      <c r="A11" s="132"/>
      <c r="B11" s="127"/>
      <c r="C11" s="127"/>
      <c r="D11" s="127"/>
      <c r="E11" s="127"/>
      <c r="F11" s="127"/>
      <c r="G11" s="133" t="s">
        <v>693</v>
      </c>
      <c r="H11" s="234">
        <v>22</v>
      </c>
      <c r="I11" s="134" t="s">
        <v>6</v>
      </c>
      <c r="J11" s="126"/>
      <c r="K11" s="126"/>
      <c r="L11" s="126"/>
      <c r="M11" s="126"/>
      <c r="N11" s="126"/>
      <c r="O11" s="126"/>
      <c r="P11" s="126"/>
      <c r="Q11" s="126"/>
      <c r="R11" s="126"/>
      <c r="S11" s="126"/>
      <c r="T11" s="126"/>
      <c r="U11" s="127"/>
      <c r="V11" s="126"/>
      <c r="W11" s="126"/>
      <c r="X11" s="126"/>
      <c r="Y11" s="126"/>
      <c r="Z11" s="126"/>
      <c r="AA11" s="115"/>
    </row>
    <row r="12" spans="1:27" x14ac:dyDescent="0.25">
      <c r="A12" s="132"/>
      <c r="B12" s="127"/>
      <c r="C12" s="127"/>
      <c r="D12" s="127"/>
      <c r="E12" s="127"/>
      <c r="F12" s="127"/>
      <c r="G12" s="133" t="s">
        <v>554</v>
      </c>
      <c r="H12" s="235" t="s">
        <v>505</v>
      </c>
      <c r="I12" s="134"/>
      <c r="J12" s="126"/>
      <c r="K12" s="126"/>
      <c r="L12" s="126"/>
      <c r="M12" s="126"/>
      <c r="N12" s="126"/>
      <c r="O12" s="126"/>
      <c r="P12" s="126"/>
      <c r="Q12" s="126"/>
      <c r="R12" s="126"/>
      <c r="S12" s="126"/>
      <c r="T12" s="126"/>
      <c r="U12" s="127"/>
      <c r="V12" s="126"/>
      <c r="W12" s="126"/>
      <c r="X12" s="126"/>
      <c r="Y12" s="126"/>
      <c r="Z12" s="126"/>
      <c r="AA12" s="115"/>
    </row>
    <row r="13" spans="1:27" x14ac:dyDescent="0.25">
      <c r="A13" s="132"/>
      <c r="B13" s="127"/>
      <c r="C13" s="127"/>
      <c r="D13" s="127"/>
      <c r="E13" s="127"/>
      <c r="F13" s="127"/>
      <c r="G13" s="133" t="s">
        <v>4</v>
      </c>
      <c r="H13" s="153">
        <v>400</v>
      </c>
      <c r="I13" s="134" t="s">
        <v>7</v>
      </c>
      <c r="J13" s="126"/>
      <c r="K13" s="126"/>
      <c r="L13" s="126"/>
      <c r="M13" s="126"/>
      <c r="N13" s="126"/>
      <c r="O13" s="126"/>
      <c r="P13" s="126"/>
      <c r="Q13" s="126"/>
      <c r="R13" s="126"/>
      <c r="S13" s="126"/>
      <c r="T13" s="126"/>
      <c r="U13" s="127"/>
      <c r="V13" s="126"/>
      <c r="W13" s="126"/>
      <c r="X13" s="126"/>
      <c r="Y13" s="126"/>
      <c r="Z13" s="126"/>
      <c r="AA13" s="115"/>
    </row>
    <row r="14" spans="1:27" x14ac:dyDescent="0.25">
      <c r="A14" s="132"/>
      <c r="B14" s="127"/>
      <c r="C14" s="127"/>
      <c r="D14" s="127"/>
      <c r="E14" s="127"/>
      <c r="F14" s="127"/>
      <c r="G14" s="133" t="s">
        <v>555</v>
      </c>
      <c r="H14" s="154">
        <f>RT/1000</f>
        <v>78.183000000000007</v>
      </c>
      <c r="I14" s="134" t="s">
        <v>53</v>
      </c>
      <c r="J14" s="126"/>
      <c r="K14" s="126"/>
      <c r="L14" s="126"/>
      <c r="M14" s="126"/>
      <c r="N14" s="126"/>
      <c r="O14" s="126"/>
      <c r="P14" s="126"/>
      <c r="Q14" s="126"/>
      <c r="R14" s="126"/>
      <c r="S14" s="126"/>
      <c r="T14" s="126"/>
      <c r="U14" s="127"/>
      <c r="V14" s="126"/>
      <c r="W14" s="126"/>
      <c r="X14" s="126"/>
      <c r="Y14" s="126"/>
      <c r="Z14" s="126"/>
      <c r="AA14" s="115"/>
    </row>
    <row r="15" spans="1:27" ht="15" customHeight="1" x14ac:dyDescent="0.25">
      <c r="A15" s="132"/>
      <c r="B15" s="127"/>
      <c r="C15" s="127"/>
      <c r="D15" s="127"/>
      <c r="E15" s="127"/>
      <c r="F15" s="127"/>
      <c r="G15" s="133" t="s">
        <v>734</v>
      </c>
      <c r="H15" s="153">
        <v>2</v>
      </c>
      <c r="I15" s="134" t="s">
        <v>687</v>
      </c>
      <c r="J15" s="126"/>
      <c r="K15" s="126"/>
      <c r="L15" s="126"/>
      <c r="M15" s="126"/>
      <c r="N15" s="126"/>
      <c r="O15" s="126"/>
      <c r="P15" s="126"/>
      <c r="Q15" s="126"/>
      <c r="R15" s="126"/>
      <c r="S15" s="126"/>
      <c r="T15" s="126"/>
      <c r="U15" s="127"/>
      <c r="V15" s="126"/>
      <c r="W15" s="126"/>
      <c r="X15" s="126"/>
      <c r="Y15" s="126"/>
      <c r="Z15" s="126"/>
      <c r="AA15" s="115"/>
    </row>
    <row r="16" spans="1:27" x14ac:dyDescent="0.25">
      <c r="A16" s="132"/>
      <c r="B16" s="127"/>
      <c r="C16" s="127"/>
      <c r="D16" s="127"/>
      <c r="E16" s="127"/>
      <c r="F16" s="127"/>
      <c r="G16" s="133" t="s">
        <v>470</v>
      </c>
      <c r="H16" s="183">
        <f>POUT</f>
        <v>495</v>
      </c>
      <c r="I16" s="134" t="s">
        <v>31</v>
      </c>
      <c r="J16" s="126"/>
      <c r="K16" s="126"/>
      <c r="L16" s="126"/>
      <c r="M16" s="126"/>
      <c r="N16" s="126"/>
      <c r="O16" s="126"/>
      <c r="P16" s="126"/>
      <c r="Q16" s="126"/>
      <c r="R16" s="126"/>
      <c r="S16" s="126"/>
      <c r="T16" s="126"/>
      <c r="U16" s="127"/>
      <c r="V16" s="126"/>
      <c r="W16" s="126"/>
      <c r="X16" s="126"/>
      <c r="Y16" s="126"/>
      <c r="Z16" s="126"/>
      <c r="AA16" s="115"/>
    </row>
    <row r="17" spans="1:27" x14ac:dyDescent="0.25">
      <c r="A17" s="132"/>
      <c r="B17" s="127"/>
      <c r="C17" s="127"/>
      <c r="D17" s="127"/>
      <c r="E17" s="127"/>
      <c r="F17" s="127"/>
      <c r="G17" s="133" t="s">
        <v>689</v>
      </c>
      <c r="H17" s="183">
        <f>Np*POUT</f>
        <v>990</v>
      </c>
      <c r="I17" s="134" t="s">
        <v>31</v>
      </c>
      <c r="J17" s="126"/>
      <c r="K17" s="126"/>
      <c r="L17" s="126"/>
      <c r="M17" s="126"/>
      <c r="N17" s="126"/>
      <c r="O17" s="126"/>
      <c r="P17" s="126"/>
      <c r="Q17" s="126"/>
      <c r="R17" s="126"/>
      <c r="S17" s="126"/>
      <c r="T17" s="126"/>
      <c r="U17" s="127"/>
      <c r="V17" s="126"/>
      <c r="W17" s="126"/>
      <c r="X17" s="126"/>
      <c r="Y17" s="126"/>
      <c r="Z17" s="126"/>
      <c r="AA17" s="115"/>
    </row>
    <row r="18" spans="1:27" x14ac:dyDescent="0.25">
      <c r="A18" s="135"/>
      <c r="B18" s="136"/>
      <c r="C18" s="136"/>
      <c r="D18" s="136"/>
      <c r="E18" s="136"/>
      <c r="F18" s="127"/>
      <c r="G18" s="137" t="s">
        <v>695</v>
      </c>
      <c r="H18" s="183">
        <f>Dc_max_IC*100</f>
        <v>94.800000000000011</v>
      </c>
      <c r="I18" s="134" t="s">
        <v>8</v>
      </c>
      <c r="J18" s="126"/>
      <c r="K18" s="126"/>
      <c r="L18" s="126"/>
      <c r="M18" s="126"/>
      <c r="N18" s="126"/>
      <c r="O18" s="126"/>
      <c r="P18" s="126"/>
      <c r="Q18" s="126"/>
      <c r="R18" s="126"/>
      <c r="S18" s="126"/>
      <c r="T18" s="126"/>
      <c r="U18" s="127"/>
      <c r="V18" s="126"/>
      <c r="W18" s="126"/>
      <c r="X18" s="126"/>
      <c r="Y18" s="126"/>
      <c r="Z18" s="126"/>
      <c r="AA18" s="115"/>
    </row>
    <row r="19" spans="1:27" ht="15.75" thickBot="1" x14ac:dyDescent="0.3">
      <c r="A19" s="181"/>
      <c r="B19" s="182"/>
      <c r="C19" s="182"/>
      <c r="D19" s="182"/>
      <c r="E19" s="182"/>
      <c r="F19" s="138"/>
      <c r="G19" s="227" t="s">
        <v>696</v>
      </c>
      <c r="H19" s="228">
        <f>Variable_Management!B25*100</f>
        <v>80</v>
      </c>
      <c r="I19" s="139" t="s">
        <v>8</v>
      </c>
      <c r="J19" s="126"/>
      <c r="K19" s="126"/>
      <c r="L19" s="126"/>
      <c r="M19" s="126"/>
      <c r="N19" s="126"/>
      <c r="O19" s="126"/>
      <c r="P19" s="126"/>
      <c r="Q19" s="126"/>
      <c r="R19" s="126"/>
      <c r="S19" s="126"/>
      <c r="T19" s="126"/>
      <c r="U19" s="127"/>
      <c r="V19" s="126"/>
      <c r="W19" s="126"/>
      <c r="X19" s="126"/>
      <c r="Y19" s="126"/>
      <c r="Z19" s="126"/>
      <c r="AA19" s="115"/>
    </row>
    <row r="20" spans="1:27" x14ac:dyDescent="0.25">
      <c r="A20" s="136"/>
      <c r="B20" s="140"/>
      <c r="C20" s="140"/>
      <c r="D20" s="140"/>
      <c r="E20" s="136"/>
      <c r="F20" s="126"/>
      <c r="G20" s="280"/>
      <c r="H20" s="126"/>
      <c r="I20" s="126"/>
      <c r="J20" s="126"/>
      <c r="K20" s="126"/>
      <c r="L20" s="126"/>
      <c r="M20" s="126"/>
      <c r="N20" s="126"/>
      <c r="O20" s="126"/>
      <c r="P20" s="126"/>
      <c r="Q20" s="126"/>
      <c r="R20" s="126"/>
      <c r="S20" s="126"/>
      <c r="T20" s="126"/>
      <c r="U20" s="127"/>
      <c r="V20" s="126"/>
      <c r="W20" s="126"/>
      <c r="X20" s="126"/>
      <c r="Y20" s="126"/>
      <c r="Z20" s="126"/>
      <c r="AA20" s="115"/>
    </row>
    <row r="21" spans="1:27" ht="15.75" thickBot="1" x14ac:dyDescent="0.3">
      <c r="A21" s="141" t="s">
        <v>598</v>
      </c>
      <c r="B21" s="140"/>
      <c r="C21" s="140"/>
      <c r="D21" s="140"/>
      <c r="E21" s="136"/>
      <c r="F21" s="126"/>
      <c r="G21" s="280"/>
      <c r="H21" s="126"/>
      <c r="I21" s="126"/>
      <c r="J21" s="126"/>
      <c r="K21" s="126"/>
      <c r="L21" s="126"/>
      <c r="M21" s="126"/>
      <c r="N21" s="126"/>
      <c r="O21" s="126"/>
      <c r="P21" s="126"/>
      <c r="Q21" s="126"/>
      <c r="R21" s="126"/>
      <c r="S21" s="126"/>
      <c r="T21" s="126"/>
      <c r="U21" s="127"/>
      <c r="V21" s="126"/>
      <c r="W21" s="126"/>
      <c r="X21" s="126"/>
      <c r="Y21" s="126"/>
      <c r="Z21" s="126"/>
      <c r="AA21" s="115"/>
    </row>
    <row r="22" spans="1:27" x14ac:dyDescent="0.25">
      <c r="A22" s="148"/>
      <c r="B22" s="142"/>
      <c r="C22" s="142"/>
      <c r="D22" s="142"/>
      <c r="E22" s="142"/>
      <c r="F22" s="129"/>
      <c r="G22" s="276" t="s">
        <v>697</v>
      </c>
      <c r="H22" s="174" t="str">
        <f>CHOOSE(Variable_Management!B28, "DCM","CCM")</f>
        <v>CCM</v>
      </c>
      <c r="I22" s="131"/>
      <c r="J22" s="126"/>
      <c r="K22" s="126"/>
      <c r="L22" s="126"/>
      <c r="M22" s="126"/>
      <c r="N22" s="126"/>
      <c r="O22" s="126"/>
      <c r="P22" s="126"/>
      <c r="Q22" s="126"/>
      <c r="R22" s="126"/>
      <c r="S22" s="126"/>
      <c r="T22" s="126"/>
      <c r="U22" s="127"/>
      <c r="V22" s="126"/>
      <c r="W22" s="126"/>
      <c r="X22" s="126"/>
      <c r="Y22" s="126"/>
      <c r="Z22" s="126"/>
      <c r="AA22" s="115"/>
    </row>
    <row r="23" spans="1:27" x14ac:dyDescent="0.25">
      <c r="A23" s="135"/>
      <c r="B23" s="136"/>
      <c r="C23" s="136"/>
      <c r="D23" s="136"/>
      <c r="E23" s="136"/>
      <c r="F23" s="127"/>
      <c r="G23" s="133" t="str">
        <f>CHOOSE(Variable_Management!B28,"Maximum duty cycle at the minimum supply voltage","Select Maximum Inductor Current Ripple Ratio, RR")</f>
        <v>Select Maximum Inductor Current Ripple Ratio, RR</v>
      </c>
      <c r="H23" s="153">
        <v>30</v>
      </c>
      <c r="I23" s="134" t="s">
        <v>8</v>
      </c>
      <c r="J23" s="126"/>
      <c r="K23" s="126"/>
      <c r="L23" s="126"/>
      <c r="M23" s="126"/>
      <c r="N23" s="126"/>
      <c r="O23" s="126"/>
      <c r="P23" s="126"/>
      <c r="Q23" s="126"/>
      <c r="R23" s="126"/>
      <c r="S23" s="126"/>
      <c r="T23" s="126"/>
      <c r="U23" s="127"/>
      <c r="V23" s="126"/>
      <c r="W23" s="126"/>
      <c r="X23" s="126"/>
      <c r="Y23" s="126"/>
      <c r="Z23" s="126"/>
      <c r="AA23" s="115"/>
    </row>
    <row r="24" spans="1:27" x14ac:dyDescent="0.25">
      <c r="A24" s="132"/>
      <c r="B24" s="127"/>
      <c r="C24" s="127"/>
      <c r="D24" s="127"/>
      <c r="E24" s="127"/>
      <c r="F24" s="127"/>
      <c r="G24" s="133" t="s">
        <v>698</v>
      </c>
      <c r="H24" s="156">
        <f>CHOOSE(Variable_Management!B28,Variable_Management!B48*10^9,Variable_Management!B48*10^6)</f>
        <v>2.7774036662925563</v>
      </c>
      <c r="I24" s="134" t="str">
        <f>CHOOSE(Variable_Management!B28,"nH","uH")</f>
        <v>uH</v>
      </c>
      <c r="J24" s="126"/>
      <c r="K24" s="126"/>
      <c r="L24" s="126"/>
      <c r="M24" s="126"/>
      <c r="N24" s="126"/>
      <c r="O24" s="126"/>
      <c r="P24" s="126"/>
      <c r="Q24" s="126"/>
      <c r="R24" s="126"/>
      <c r="S24" s="126"/>
      <c r="T24" s="126"/>
      <c r="U24" s="127"/>
      <c r="V24" s="126"/>
      <c r="W24" s="126"/>
      <c r="X24" s="126"/>
      <c r="Y24" s="126"/>
      <c r="Z24" s="126"/>
      <c r="AA24" s="115"/>
    </row>
    <row r="25" spans="1:27" x14ac:dyDescent="0.25">
      <c r="A25" s="132"/>
      <c r="B25" s="127"/>
      <c r="C25" s="127"/>
      <c r="D25" s="127"/>
      <c r="E25" s="127"/>
      <c r="F25" s="127"/>
      <c r="G25" s="133" t="s">
        <v>699</v>
      </c>
      <c r="H25" s="153">
        <v>3.3</v>
      </c>
      <c r="I25" s="134" t="str">
        <f>CHOOSE(Variable_Management!B28,"nH","uH")</f>
        <v>uH</v>
      </c>
      <c r="J25" s="126"/>
      <c r="K25" s="126"/>
      <c r="L25" s="126"/>
      <c r="M25" s="126"/>
      <c r="N25" s="126"/>
      <c r="O25" s="126"/>
      <c r="P25" s="126"/>
      <c r="Q25" s="126"/>
      <c r="R25" s="126"/>
      <c r="S25" s="126"/>
      <c r="T25" s="126"/>
      <c r="U25" s="127"/>
      <c r="V25" s="126"/>
      <c r="W25" s="126"/>
      <c r="X25" s="126"/>
      <c r="Y25" s="126"/>
      <c r="Z25" s="126"/>
      <c r="AA25" s="115"/>
    </row>
    <row r="26" spans="1:27" x14ac:dyDescent="0.25">
      <c r="A26" s="132"/>
      <c r="B26" s="127"/>
      <c r="C26" s="127"/>
      <c r="D26" s="127"/>
      <c r="E26" s="127"/>
      <c r="F26" s="127"/>
      <c r="G26" s="133" t="s">
        <v>607</v>
      </c>
      <c r="H26" s="153">
        <v>6</v>
      </c>
      <c r="I26" s="134" t="s">
        <v>70</v>
      </c>
      <c r="J26" s="126"/>
      <c r="K26" s="126"/>
      <c r="L26" s="126"/>
      <c r="M26" s="126"/>
      <c r="N26" s="126"/>
      <c r="O26" s="126"/>
      <c r="P26" s="126"/>
      <c r="Q26" s="126"/>
      <c r="R26" s="126"/>
      <c r="S26" s="126"/>
      <c r="T26" s="126"/>
      <c r="U26" s="127"/>
      <c r="V26" s="126"/>
      <c r="W26" s="126"/>
      <c r="X26" s="126"/>
      <c r="Y26" s="126"/>
      <c r="Z26" s="126"/>
      <c r="AA26" s="115"/>
    </row>
    <row r="27" spans="1:27" ht="15.75" thickBot="1" x14ac:dyDescent="0.3">
      <c r="A27" s="143"/>
      <c r="B27" s="138"/>
      <c r="C27" s="138"/>
      <c r="D27" s="138"/>
      <c r="E27" s="138"/>
      <c r="F27" s="138"/>
      <c r="G27" s="144" t="s">
        <v>603</v>
      </c>
      <c r="H27" s="157">
        <f>ILp_VINmin</f>
        <v>57.727272727272727</v>
      </c>
      <c r="I27" s="139" t="s">
        <v>6</v>
      </c>
      <c r="J27" s="126"/>
      <c r="K27" s="126"/>
      <c r="L27" s="126"/>
      <c r="M27" s="126"/>
      <c r="N27" s="126"/>
      <c r="O27" s="126"/>
      <c r="P27" s="126"/>
      <c r="Q27" s="126"/>
      <c r="R27" s="126"/>
      <c r="S27" s="126"/>
      <c r="T27" s="126"/>
      <c r="U27" s="127"/>
      <c r="V27" s="126"/>
      <c r="W27" s="126"/>
      <c r="X27" s="126"/>
      <c r="Y27" s="126"/>
      <c r="Z27" s="126"/>
      <c r="AA27" s="115"/>
    </row>
    <row r="28" spans="1:27" x14ac:dyDescent="0.25">
      <c r="A28" s="126"/>
      <c r="B28" s="126"/>
      <c r="C28" s="126"/>
      <c r="D28" s="126"/>
      <c r="E28" s="126"/>
      <c r="F28" s="126"/>
      <c r="G28" s="280"/>
      <c r="H28" s="126"/>
      <c r="I28" s="126"/>
      <c r="J28" s="126"/>
      <c r="K28" s="126"/>
      <c r="L28" s="126"/>
      <c r="M28" s="126"/>
      <c r="N28" s="126"/>
      <c r="O28" s="126"/>
      <c r="P28" s="126"/>
      <c r="Q28" s="126"/>
      <c r="R28" s="126"/>
      <c r="S28" s="126"/>
      <c r="T28" s="126"/>
      <c r="U28" s="127"/>
      <c r="V28" s="126"/>
      <c r="W28" s="126"/>
      <c r="X28" s="126"/>
      <c r="Y28" s="126"/>
      <c r="Z28" s="126"/>
      <c r="AA28" s="115"/>
    </row>
    <row r="29" spans="1:27" ht="15.75" thickBot="1" x14ac:dyDescent="0.3">
      <c r="A29" s="141" t="s">
        <v>600</v>
      </c>
      <c r="B29" s="126"/>
      <c r="C29" s="126"/>
      <c r="D29" s="126"/>
      <c r="E29" s="126"/>
      <c r="F29" s="126"/>
      <c r="G29" s="280"/>
      <c r="H29" s="126"/>
      <c r="I29" s="126"/>
      <c r="J29" s="126"/>
      <c r="K29" s="126"/>
      <c r="L29" s="126"/>
      <c r="M29" s="126"/>
      <c r="N29" s="126"/>
      <c r="O29" s="126"/>
      <c r="P29" s="126"/>
      <c r="Q29" s="126"/>
      <c r="R29" s="126"/>
      <c r="S29" s="126"/>
      <c r="T29" s="126"/>
      <c r="U29" s="127"/>
      <c r="V29" s="126"/>
      <c r="W29" s="126"/>
      <c r="X29" s="126"/>
      <c r="Y29" s="126"/>
      <c r="Z29" s="126"/>
      <c r="AA29" s="115"/>
    </row>
    <row r="30" spans="1:27" x14ac:dyDescent="0.25">
      <c r="A30" s="128"/>
      <c r="B30" s="129"/>
      <c r="C30" s="129"/>
      <c r="D30" s="129"/>
      <c r="E30" s="129"/>
      <c r="F30" s="129"/>
      <c r="G30" s="130" t="s">
        <v>577</v>
      </c>
      <c r="H30" s="152">
        <v>40</v>
      </c>
      <c r="I30" s="238" t="s">
        <v>6</v>
      </c>
      <c r="J30" s="126"/>
      <c r="K30" s="126"/>
      <c r="L30" s="126"/>
      <c r="M30" s="126"/>
      <c r="N30" s="126"/>
      <c r="O30" s="126"/>
      <c r="P30" s="126"/>
      <c r="Q30" s="126"/>
      <c r="R30" s="126"/>
      <c r="S30" s="126"/>
      <c r="T30" s="126"/>
      <c r="U30" s="127"/>
      <c r="V30" s="126"/>
      <c r="W30" s="126"/>
      <c r="X30" s="126"/>
      <c r="Y30" s="126"/>
      <c r="Z30" s="126"/>
      <c r="AA30" s="115"/>
    </row>
    <row r="31" spans="1:27" x14ac:dyDescent="0.25">
      <c r="A31" s="132"/>
      <c r="B31" s="127"/>
      <c r="C31" s="127"/>
      <c r="D31" s="127"/>
      <c r="E31" s="127"/>
      <c r="F31" s="127"/>
      <c r="G31" s="137" t="s">
        <v>700</v>
      </c>
      <c r="H31" s="154">
        <f>Variable_Management!B90*1000</f>
        <v>1.5</v>
      </c>
      <c r="I31" s="155" t="s">
        <v>70</v>
      </c>
      <c r="J31" s="126"/>
      <c r="K31" s="126"/>
      <c r="L31" s="126"/>
      <c r="M31" s="126"/>
      <c r="N31" s="126"/>
      <c r="O31" s="126"/>
      <c r="P31" s="126"/>
      <c r="Q31" s="126"/>
      <c r="R31" s="126"/>
      <c r="S31" s="126"/>
      <c r="T31" s="126"/>
      <c r="U31" s="127"/>
      <c r="V31" s="126"/>
      <c r="W31" s="126"/>
      <c r="X31" s="126"/>
      <c r="Y31" s="126"/>
      <c r="Z31" s="126"/>
      <c r="AA31" s="115"/>
    </row>
    <row r="32" spans="1:27" x14ac:dyDescent="0.25">
      <c r="A32" s="132"/>
      <c r="B32" s="127"/>
      <c r="C32" s="127"/>
      <c r="D32" s="127"/>
      <c r="E32" s="127"/>
      <c r="F32" s="127"/>
      <c r="G32" s="137" t="s">
        <v>701</v>
      </c>
      <c r="H32" s="153">
        <v>1.5</v>
      </c>
      <c r="I32" s="155" t="s">
        <v>70</v>
      </c>
      <c r="J32" s="126"/>
      <c r="K32" s="126"/>
      <c r="L32" s="126"/>
      <c r="M32" s="126"/>
      <c r="N32" s="126"/>
      <c r="O32" s="126"/>
      <c r="P32" s="126"/>
      <c r="Q32" s="126"/>
      <c r="R32" s="126"/>
      <c r="S32" s="126"/>
      <c r="T32" s="126"/>
      <c r="U32" s="127"/>
      <c r="V32" s="126"/>
      <c r="W32" s="126"/>
      <c r="X32" s="126"/>
      <c r="Y32" s="126"/>
      <c r="Z32" s="126"/>
      <c r="AA32" s="115"/>
    </row>
    <row r="33" spans="1:27" ht="15.75" thickBot="1" x14ac:dyDescent="0.3">
      <c r="A33" s="138"/>
      <c r="B33" s="138"/>
      <c r="C33" s="138"/>
      <c r="D33" s="138"/>
      <c r="E33" s="138"/>
      <c r="F33" s="138"/>
      <c r="G33" s="227" t="s">
        <v>608</v>
      </c>
      <c r="H33" s="158">
        <f>IL_pk_max</f>
        <v>40</v>
      </c>
      <c r="I33" s="257" t="s">
        <v>6</v>
      </c>
      <c r="J33" s="126"/>
      <c r="K33" s="126"/>
      <c r="L33" s="126"/>
      <c r="M33" s="126"/>
      <c r="N33" s="126"/>
      <c r="O33" s="126"/>
      <c r="P33" s="126"/>
      <c r="Q33" s="126"/>
      <c r="R33" s="126"/>
      <c r="S33" s="126"/>
      <c r="T33" s="126"/>
      <c r="U33" s="127"/>
      <c r="V33" s="126"/>
      <c r="W33" s="126"/>
      <c r="X33" s="126"/>
      <c r="Y33" s="126"/>
      <c r="Z33" s="126"/>
      <c r="AA33" s="115"/>
    </row>
    <row r="34" spans="1:27" x14ac:dyDescent="0.25">
      <c r="A34" s="127"/>
      <c r="B34" s="127"/>
      <c r="C34" s="127"/>
      <c r="D34" s="127"/>
      <c r="E34" s="127"/>
      <c r="F34" s="127"/>
      <c r="G34" s="137"/>
      <c r="H34" s="256"/>
      <c r="I34" s="258"/>
      <c r="J34" s="126"/>
      <c r="K34" s="126"/>
      <c r="L34" s="126"/>
      <c r="M34" s="126"/>
      <c r="N34" s="126"/>
      <c r="O34" s="126"/>
      <c r="P34" s="126"/>
      <c r="Q34" s="126"/>
      <c r="R34" s="126"/>
      <c r="S34" s="126"/>
      <c r="T34" s="126"/>
      <c r="U34" s="127"/>
      <c r="V34" s="126"/>
      <c r="W34" s="126"/>
      <c r="X34" s="126"/>
      <c r="Y34" s="126"/>
      <c r="Z34" s="126"/>
      <c r="AA34" s="115"/>
    </row>
    <row r="35" spans="1:27" ht="15.75" thickBot="1" x14ac:dyDescent="0.3">
      <c r="A35" s="141" t="s">
        <v>125</v>
      </c>
      <c r="B35" s="126"/>
      <c r="C35" s="126"/>
      <c r="D35" s="126"/>
      <c r="E35" s="126"/>
      <c r="F35" s="126"/>
      <c r="G35" s="280"/>
      <c r="H35" s="126"/>
      <c r="I35" s="126"/>
      <c r="J35" s="126"/>
      <c r="K35" s="126"/>
      <c r="L35" s="126"/>
      <c r="M35" s="126"/>
      <c r="N35" s="126"/>
      <c r="O35" s="126"/>
      <c r="P35" s="126"/>
      <c r="Q35" s="126"/>
      <c r="R35" s="126"/>
      <c r="S35" s="126"/>
      <c r="T35" s="126"/>
      <c r="U35" s="127"/>
      <c r="V35" s="126"/>
      <c r="W35" s="126"/>
      <c r="X35" s="126"/>
      <c r="Y35" s="126"/>
      <c r="Z35" s="126"/>
      <c r="AA35" s="115"/>
    </row>
    <row r="36" spans="1:27" x14ac:dyDescent="0.25">
      <c r="A36" s="128"/>
      <c r="B36" s="129"/>
      <c r="C36" s="129"/>
      <c r="D36" s="129"/>
      <c r="E36" s="129"/>
      <c r="F36" s="129"/>
      <c r="G36" s="276" t="s">
        <v>599</v>
      </c>
      <c r="H36" s="152">
        <v>1200</v>
      </c>
      <c r="I36" s="131" t="s">
        <v>126</v>
      </c>
      <c r="J36" s="126"/>
      <c r="K36" s="126"/>
      <c r="L36" s="126"/>
      <c r="M36" s="126"/>
      <c r="N36" s="126"/>
      <c r="O36" s="126"/>
      <c r="P36" s="126"/>
      <c r="Q36" s="126"/>
      <c r="R36" s="126"/>
      <c r="S36" s="126"/>
      <c r="T36" s="126"/>
      <c r="U36" s="127"/>
      <c r="V36" s="126"/>
      <c r="W36" s="126"/>
      <c r="X36" s="126"/>
      <c r="Y36" s="126"/>
      <c r="Z36" s="126"/>
      <c r="AA36" s="115"/>
    </row>
    <row r="37" spans="1:27" x14ac:dyDescent="0.25">
      <c r="A37" s="132"/>
      <c r="B37" s="127"/>
      <c r="C37" s="127"/>
      <c r="D37" s="127"/>
      <c r="E37" s="127"/>
      <c r="F37" s="127"/>
      <c r="G37" s="137" t="s">
        <v>612</v>
      </c>
      <c r="H37" s="154">
        <f>Cout_min*Np*10^6</f>
        <v>924.30555555555566</v>
      </c>
      <c r="I37" s="134" t="s">
        <v>127</v>
      </c>
      <c r="J37" s="126"/>
      <c r="K37" s="126"/>
      <c r="L37" s="126"/>
      <c r="M37" s="126"/>
      <c r="N37" s="126"/>
      <c r="O37" s="126"/>
      <c r="P37" s="126"/>
      <c r="Q37" s="126"/>
      <c r="R37" s="126"/>
      <c r="S37" s="126"/>
      <c r="T37" s="126"/>
      <c r="U37" s="127"/>
      <c r="V37" s="126"/>
      <c r="W37" s="126"/>
      <c r="X37" s="126"/>
      <c r="Y37" s="126"/>
      <c r="Z37" s="126"/>
      <c r="AA37" s="115"/>
    </row>
    <row r="38" spans="1:27" x14ac:dyDescent="0.25">
      <c r="A38" s="132"/>
      <c r="B38" s="127"/>
      <c r="C38" s="127"/>
      <c r="D38" s="127"/>
      <c r="E38" s="127"/>
      <c r="F38" s="127"/>
      <c r="G38" s="283" t="s">
        <v>604</v>
      </c>
      <c r="H38" s="153">
        <v>900</v>
      </c>
      <c r="I38" s="134" t="s">
        <v>127</v>
      </c>
      <c r="J38" s="126"/>
      <c r="K38" s="126"/>
      <c r="L38" s="126"/>
      <c r="M38" s="126"/>
      <c r="N38" s="126"/>
      <c r="O38" s="126"/>
      <c r="P38" s="126"/>
      <c r="Q38" s="126"/>
      <c r="R38" s="126"/>
      <c r="S38" s="126"/>
      <c r="T38" s="126"/>
      <c r="U38" s="127"/>
      <c r="V38" s="126"/>
      <c r="W38" s="126"/>
      <c r="X38" s="126"/>
      <c r="Y38" s="126"/>
      <c r="Z38" s="126"/>
      <c r="AA38" s="115"/>
    </row>
    <row r="39" spans="1:27" ht="15.75" thickBot="1" x14ac:dyDescent="0.3">
      <c r="A39" s="143"/>
      <c r="B39" s="138"/>
      <c r="C39" s="138"/>
      <c r="D39" s="138"/>
      <c r="E39" s="138"/>
      <c r="F39" s="138"/>
      <c r="G39" s="227" t="s">
        <v>605</v>
      </c>
      <c r="H39" s="159">
        <v>2</v>
      </c>
      <c r="I39" s="139" t="s">
        <v>70</v>
      </c>
      <c r="J39" s="126"/>
      <c r="K39" s="126"/>
      <c r="L39" s="126"/>
      <c r="M39" s="126"/>
      <c r="N39" s="126"/>
      <c r="O39" s="126"/>
      <c r="P39" s="126"/>
      <c r="Q39" s="126"/>
      <c r="R39" s="126"/>
      <c r="S39" s="126"/>
      <c r="T39" s="126"/>
      <c r="U39" s="127"/>
      <c r="V39" s="126"/>
      <c r="W39" s="126"/>
      <c r="X39" s="126"/>
      <c r="Y39" s="126"/>
      <c r="Z39" s="126"/>
      <c r="AA39" s="115"/>
    </row>
    <row r="40" spans="1:27" x14ac:dyDescent="0.25">
      <c r="A40" s="127"/>
      <c r="B40" s="127"/>
      <c r="C40" s="127"/>
      <c r="D40" s="127"/>
      <c r="E40" s="127"/>
      <c r="F40" s="127"/>
      <c r="G40" s="137"/>
      <c r="H40" s="256"/>
      <c r="I40" s="127"/>
      <c r="J40" s="126"/>
      <c r="K40" s="126"/>
      <c r="L40" s="126"/>
      <c r="M40" s="126"/>
      <c r="N40" s="126"/>
      <c r="O40" s="126"/>
      <c r="P40" s="126"/>
      <c r="Q40" s="126"/>
      <c r="R40" s="126"/>
      <c r="S40" s="126"/>
      <c r="T40" s="126"/>
      <c r="U40" s="127"/>
      <c r="V40" s="126"/>
      <c r="W40" s="126"/>
      <c r="X40" s="126"/>
      <c r="Y40" s="126"/>
      <c r="Z40" s="126"/>
      <c r="AA40" s="115"/>
    </row>
    <row r="41" spans="1:27" ht="15.75" thickBot="1" x14ac:dyDescent="0.3">
      <c r="A41" s="141" t="s">
        <v>617</v>
      </c>
      <c r="B41" s="126"/>
      <c r="C41" s="126"/>
      <c r="D41" s="126"/>
      <c r="E41" s="126"/>
      <c r="F41" s="126"/>
      <c r="G41" s="280"/>
      <c r="H41" s="126"/>
      <c r="I41" s="126"/>
      <c r="J41" s="126"/>
      <c r="K41" s="126"/>
      <c r="L41" s="126"/>
      <c r="M41" s="126"/>
      <c r="N41" s="126"/>
      <c r="O41" s="126"/>
      <c r="P41" s="126"/>
      <c r="Q41" s="126"/>
      <c r="R41" s="126"/>
      <c r="S41" s="126"/>
      <c r="T41" s="126"/>
      <c r="U41" s="127"/>
      <c r="V41" s="126"/>
      <c r="W41" s="126"/>
      <c r="X41" s="126"/>
      <c r="Y41" s="126"/>
      <c r="Z41" s="126"/>
      <c r="AA41" s="115"/>
    </row>
    <row r="42" spans="1:27" x14ac:dyDescent="0.25">
      <c r="A42" s="128"/>
      <c r="B42" s="129"/>
      <c r="C42" s="129"/>
      <c r="D42" s="129"/>
      <c r="E42" s="129"/>
      <c r="F42" s="129"/>
      <c r="G42" s="276" t="s">
        <v>702</v>
      </c>
      <c r="H42" s="238">
        <f>V_ATRK</f>
        <v>1.5</v>
      </c>
      <c r="I42" s="131" t="s">
        <v>5</v>
      </c>
      <c r="J42" s="126"/>
      <c r="K42" s="126"/>
      <c r="L42" s="126"/>
      <c r="M42" s="126"/>
      <c r="N42" s="126"/>
      <c r="O42" s="126"/>
      <c r="P42" s="126"/>
      <c r="Q42" s="126"/>
      <c r="R42" s="126"/>
      <c r="S42" s="126"/>
      <c r="T42" s="126"/>
      <c r="U42" s="127"/>
      <c r="V42" s="126"/>
      <c r="W42" s="126"/>
      <c r="X42" s="126"/>
      <c r="Y42" s="126"/>
      <c r="Z42" s="126"/>
      <c r="AA42" s="115"/>
    </row>
    <row r="43" spans="1:27" x14ac:dyDescent="0.25">
      <c r="A43" s="132"/>
      <c r="B43" s="127"/>
      <c r="C43" s="127"/>
      <c r="D43" s="127"/>
      <c r="E43" s="127"/>
      <c r="F43" s="127"/>
      <c r="G43" s="133" t="s">
        <v>556</v>
      </c>
      <c r="H43" s="154">
        <f>R_ATRK/1000</f>
        <v>75</v>
      </c>
      <c r="I43" s="134" t="s">
        <v>53</v>
      </c>
      <c r="J43" s="126"/>
      <c r="K43" s="126"/>
      <c r="L43" s="126"/>
      <c r="M43" s="126"/>
      <c r="N43" s="126"/>
      <c r="O43" s="126"/>
      <c r="P43" s="126"/>
      <c r="Q43" s="126"/>
      <c r="R43" s="126"/>
      <c r="S43" s="126"/>
      <c r="T43" s="126"/>
      <c r="U43" s="127"/>
      <c r="V43" s="126"/>
      <c r="W43" s="126"/>
      <c r="X43" s="126"/>
      <c r="Y43" s="126"/>
      <c r="Z43" s="126"/>
      <c r="AA43" s="115"/>
    </row>
    <row r="44" spans="1:27" ht="15.75" thickBot="1" x14ac:dyDescent="0.3">
      <c r="A44" s="143"/>
      <c r="B44" s="138"/>
      <c r="C44" s="138"/>
      <c r="D44" s="138"/>
      <c r="E44" s="138"/>
      <c r="F44" s="138"/>
      <c r="G44" s="227" t="s">
        <v>611</v>
      </c>
      <c r="H44" s="158">
        <f>Variable_Management!B22</f>
        <v>60</v>
      </c>
      <c r="I44" s="139" t="s">
        <v>8</v>
      </c>
      <c r="J44" s="126"/>
      <c r="K44" s="126"/>
      <c r="L44" s="126"/>
      <c r="M44" s="126"/>
      <c r="N44" s="126"/>
      <c r="O44" s="126"/>
      <c r="P44" s="126"/>
      <c r="Q44" s="126"/>
      <c r="R44" s="126"/>
      <c r="S44" s="126"/>
      <c r="T44" s="126"/>
      <c r="U44" s="127"/>
      <c r="V44" s="126"/>
      <c r="W44" s="126"/>
      <c r="X44" s="126"/>
      <c r="Y44" s="126"/>
      <c r="Z44" s="126"/>
      <c r="AA44" s="115"/>
    </row>
    <row r="45" spans="1:27" x14ac:dyDescent="0.25">
      <c r="A45" s="127"/>
      <c r="B45" s="127"/>
      <c r="C45" s="127"/>
      <c r="D45" s="127"/>
      <c r="E45" s="127"/>
      <c r="F45" s="127"/>
      <c r="G45" s="137"/>
      <c r="H45" s="256"/>
      <c r="I45" s="258"/>
      <c r="J45" s="126"/>
      <c r="K45" s="126"/>
      <c r="L45" s="126"/>
      <c r="M45" s="126"/>
      <c r="N45" s="126"/>
      <c r="O45" s="126"/>
      <c r="P45" s="126"/>
      <c r="Q45" s="126"/>
      <c r="R45" s="126"/>
      <c r="S45" s="126"/>
      <c r="T45" s="126"/>
      <c r="U45" s="127"/>
      <c r="V45" s="126"/>
      <c r="W45" s="126"/>
      <c r="X45" s="126"/>
      <c r="Y45" s="126"/>
      <c r="Z45" s="126"/>
      <c r="AA45" s="115"/>
    </row>
    <row r="46" spans="1:27" ht="15.75" thickBot="1" x14ac:dyDescent="0.3">
      <c r="A46" s="141" t="s">
        <v>618</v>
      </c>
      <c r="B46" s="127"/>
      <c r="C46" s="127"/>
      <c r="D46" s="127"/>
      <c r="E46" s="127"/>
      <c r="F46" s="127"/>
      <c r="G46" s="137"/>
      <c r="H46" s="256"/>
      <c r="I46" s="258"/>
      <c r="J46" s="126"/>
      <c r="K46" s="126"/>
      <c r="L46" s="126"/>
      <c r="M46" s="126"/>
      <c r="N46" s="126"/>
      <c r="O46" s="126"/>
      <c r="P46" s="126"/>
      <c r="Q46" s="126"/>
      <c r="R46" s="126"/>
      <c r="S46" s="126"/>
      <c r="T46" s="126"/>
      <c r="U46" s="127"/>
      <c r="V46" s="126"/>
      <c r="W46" s="126"/>
      <c r="X46" s="126"/>
      <c r="Y46" s="126"/>
      <c r="Z46" s="126"/>
      <c r="AA46" s="115"/>
    </row>
    <row r="47" spans="1:27" x14ac:dyDescent="0.25">
      <c r="A47" s="128"/>
      <c r="B47" s="129"/>
      <c r="C47" s="129"/>
      <c r="D47" s="129"/>
      <c r="E47" s="129"/>
      <c r="F47" s="129"/>
      <c r="G47" s="276" t="s">
        <v>613</v>
      </c>
      <c r="H47" s="265">
        <v>26</v>
      </c>
      <c r="I47" s="259" t="s">
        <v>6</v>
      </c>
      <c r="J47" s="126"/>
      <c r="K47" s="126"/>
      <c r="L47" s="126"/>
      <c r="M47" s="126"/>
      <c r="N47" s="126"/>
      <c r="O47" s="126"/>
      <c r="P47" s="126"/>
      <c r="Q47" s="126"/>
      <c r="R47" s="126"/>
      <c r="S47" s="126"/>
      <c r="T47" s="126"/>
      <c r="U47" s="127"/>
      <c r="V47" s="126"/>
      <c r="W47" s="126"/>
      <c r="X47" s="126"/>
      <c r="Y47" s="126"/>
      <c r="Z47" s="126"/>
      <c r="AA47" s="115"/>
    </row>
    <row r="48" spans="1:27" x14ac:dyDescent="0.25">
      <c r="A48" s="132"/>
      <c r="B48" s="127"/>
      <c r="C48" s="127"/>
      <c r="D48" s="127"/>
      <c r="E48" s="127"/>
      <c r="F48" s="127"/>
      <c r="G48" s="137" t="s">
        <v>727</v>
      </c>
      <c r="H48" s="154">
        <f>Variable_Management!B123</f>
        <v>47.648544336970502</v>
      </c>
      <c r="I48" s="261" t="s">
        <v>145</v>
      </c>
      <c r="J48" s="126"/>
      <c r="K48" s="126"/>
      <c r="L48" s="126"/>
      <c r="M48" s="126"/>
      <c r="N48" s="126"/>
      <c r="O48" s="126"/>
      <c r="P48" s="126"/>
      <c r="Q48" s="126"/>
      <c r="R48" s="126"/>
      <c r="S48" s="126"/>
      <c r="T48" s="126"/>
      <c r="U48" s="127"/>
      <c r="V48" s="126"/>
      <c r="W48" s="126"/>
      <c r="X48" s="126"/>
      <c r="Y48" s="126"/>
      <c r="Z48" s="126"/>
      <c r="AA48" s="115"/>
    </row>
    <row r="49" spans="1:27" x14ac:dyDescent="0.25">
      <c r="A49" s="132"/>
      <c r="B49" s="127"/>
      <c r="C49" s="127"/>
      <c r="D49" s="127"/>
      <c r="E49" s="127"/>
      <c r="F49" s="127"/>
      <c r="G49" s="137" t="s">
        <v>558</v>
      </c>
      <c r="H49" s="153">
        <v>47.5</v>
      </c>
      <c r="I49" s="134" t="s">
        <v>145</v>
      </c>
      <c r="J49" s="126"/>
      <c r="K49" s="126"/>
      <c r="L49" s="126"/>
      <c r="M49" s="126"/>
      <c r="N49" s="126"/>
      <c r="O49" s="126"/>
      <c r="P49" s="126"/>
      <c r="Q49" s="126"/>
      <c r="R49" s="126"/>
      <c r="S49" s="126"/>
      <c r="T49" s="126"/>
      <c r="U49" s="127"/>
      <c r="V49" s="126"/>
      <c r="W49" s="126"/>
      <c r="X49" s="126"/>
      <c r="Y49" s="126"/>
      <c r="Z49" s="126"/>
      <c r="AA49" s="115"/>
    </row>
    <row r="50" spans="1:27" x14ac:dyDescent="0.25">
      <c r="A50" s="132"/>
      <c r="B50" s="127"/>
      <c r="C50" s="127"/>
      <c r="D50" s="127"/>
      <c r="E50" s="127"/>
      <c r="F50" s="127"/>
      <c r="G50" s="137" t="s">
        <v>726</v>
      </c>
      <c r="H50" s="326">
        <f>Variable_Management!B125</f>
        <v>0.99688250000000012</v>
      </c>
      <c r="I50" s="134" t="s">
        <v>5</v>
      </c>
      <c r="J50" s="126"/>
      <c r="K50" s="126"/>
      <c r="L50" s="126"/>
      <c r="M50" s="126"/>
      <c r="N50" s="126"/>
      <c r="O50" s="126"/>
      <c r="P50" s="126"/>
      <c r="Q50" s="126"/>
      <c r="R50" s="126"/>
      <c r="S50" s="126"/>
      <c r="T50" s="126"/>
      <c r="U50" s="127"/>
      <c r="V50" s="126"/>
      <c r="W50" s="126"/>
      <c r="X50" s="126"/>
      <c r="Y50" s="126"/>
      <c r="Z50" s="126"/>
      <c r="AA50" s="115"/>
    </row>
    <row r="51" spans="1:27" x14ac:dyDescent="0.25">
      <c r="A51" s="132"/>
      <c r="B51" s="127"/>
      <c r="C51" s="127"/>
      <c r="D51" s="127"/>
      <c r="E51" s="127"/>
      <c r="F51" s="127"/>
      <c r="G51" s="137" t="s">
        <v>614</v>
      </c>
      <c r="H51" s="183">
        <f>Variable_Management!B126</f>
        <v>26.131394552447183</v>
      </c>
      <c r="I51" s="134" t="s">
        <v>6</v>
      </c>
      <c r="J51" s="126"/>
      <c r="K51" s="126"/>
      <c r="L51" s="126"/>
      <c r="M51" s="126"/>
      <c r="N51" s="126"/>
      <c r="O51" s="126"/>
      <c r="P51" s="126"/>
      <c r="Q51" s="126"/>
      <c r="R51" s="126"/>
      <c r="S51" s="126"/>
      <c r="T51" s="126"/>
      <c r="U51" s="127"/>
      <c r="V51" s="126"/>
      <c r="W51" s="126"/>
      <c r="X51" s="126"/>
      <c r="Y51" s="126"/>
      <c r="Z51" s="126"/>
      <c r="AA51" s="115"/>
    </row>
    <row r="52" spans="1:27" x14ac:dyDescent="0.25">
      <c r="A52" s="132"/>
      <c r="B52" s="127"/>
      <c r="C52" s="127"/>
      <c r="D52" s="127"/>
      <c r="E52" s="127"/>
      <c r="F52" s="127"/>
      <c r="G52" s="137" t="s">
        <v>676</v>
      </c>
      <c r="H52" s="318">
        <v>52</v>
      </c>
      <c r="I52" s="134" t="s">
        <v>6</v>
      </c>
      <c r="J52" s="126"/>
      <c r="K52" s="126"/>
      <c r="L52" s="126"/>
      <c r="M52" s="126"/>
      <c r="N52" s="126"/>
      <c r="O52" s="126"/>
      <c r="P52" s="126"/>
      <c r="Q52" s="126"/>
      <c r="R52" s="126"/>
      <c r="S52" s="126"/>
      <c r="T52" s="126"/>
      <c r="U52" s="127"/>
      <c r="V52" s="126"/>
      <c r="W52" s="126"/>
      <c r="X52" s="126"/>
      <c r="Y52" s="126"/>
      <c r="Z52" s="126"/>
      <c r="AA52" s="115"/>
    </row>
    <row r="53" spans="1:27" x14ac:dyDescent="0.25">
      <c r="A53" s="132"/>
      <c r="B53" s="127"/>
      <c r="C53" s="127"/>
      <c r="D53" s="127"/>
      <c r="E53" s="127"/>
      <c r="F53" s="127"/>
      <c r="G53" s="137" t="s">
        <v>616</v>
      </c>
      <c r="H53" s="153">
        <v>100</v>
      </c>
      <c r="I53" s="134" t="s">
        <v>246</v>
      </c>
      <c r="J53" s="126"/>
      <c r="K53" s="126"/>
      <c r="L53" s="126"/>
      <c r="M53" s="126"/>
      <c r="N53" s="126"/>
      <c r="O53" s="126"/>
      <c r="P53" s="126"/>
      <c r="Q53" s="126"/>
      <c r="R53" s="126"/>
      <c r="S53" s="126"/>
      <c r="T53" s="126"/>
      <c r="U53" s="127"/>
      <c r="V53" s="126"/>
      <c r="W53" s="126"/>
      <c r="X53" s="126"/>
      <c r="Y53" s="126"/>
      <c r="Z53" s="126"/>
      <c r="AA53" s="115"/>
    </row>
    <row r="54" spans="1:27" x14ac:dyDescent="0.25">
      <c r="A54" s="132"/>
      <c r="B54" s="127"/>
      <c r="C54" s="127"/>
      <c r="D54" s="127"/>
      <c r="E54" s="127"/>
      <c r="F54" s="127"/>
      <c r="G54" s="137" t="s">
        <v>559</v>
      </c>
      <c r="H54" s="397">
        <f>Variable_Management!B132</f>
        <v>3.015213492602685</v>
      </c>
      <c r="I54" s="134" t="s">
        <v>127</v>
      </c>
      <c r="J54" s="126"/>
      <c r="K54" s="126"/>
      <c r="L54" s="126"/>
      <c r="M54" s="126"/>
      <c r="N54" s="126"/>
      <c r="O54" s="126"/>
      <c r="P54" s="126"/>
      <c r="Q54" s="126"/>
      <c r="R54" s="126"/>
      <c r="S54" s="126"/>
      <c r="T54" s="126"/>
      <c r="U54" s="127"/>
      <c r="V54" s="126"/>
      <c r="W54" s="126"/>
      <c r="X54" s="126"/>
      <c r="Y54" s="126"/>
      <c r="Z54" s="126"/>
      <c r="AA54" s="115"/>
    </row>
    <row r="55" spans="1:27" x14ac:dyDescent="0.25">
      <c r="A55" s="132"/>
      <c r="B55" s="127"/>
      <c r="C55" s="127"/>
      <c r="D55" s="127"/>
      <c r="E55" s="127"/>
      <c r="F55" s="127"/>
      <c r="G55" s="137" t="s">
        <v>560</v>
      </c>
      <c r="H55" s="319">
        <v>3.3</v>
      </c>
      <c r="I55" s="134" t="s">
        <v>127</v>
      </c>
      <c r="J55" s="126"/>
      <c r="K55" s="126"/>
      <c r="L55" s="126"/>
      <c r="M55" s="126"/>
      <c r="N55" s="126"/>
      <c r="O55" s="126"/>
      <c r="P55" s="126"/>
      <c r="Q55" s="126"/>
      <c r="R55" s="126"/>
      <c r="S55" s="126"/>
      <c r="T55" s="126"/>
      <c r="U55" s="127"/>
      <c r="V55" s="126"/>
      <c r="W55" s="126"/>
      <c r="X55" s="126"/>
      <c r="Y55" s="126"/>
      <c r="Z55" s="126"/>
      <c r="AA55" s="115"/>
    </row>
    <row r="56" spans="1:27" x14ac:dyDescent="0.25">
      <c r="A56" s="132"/>
      <c r="B56" s="127"/>
      <c r="C56" s="127"/>
      <c r="D56" s="127"/>
      <c r="E56" s="127"/>
      <c r="F56" s="127"/>
      <c r="G56" s="137" t="s">
        <v>688</v>
      </c>
      <c r="H56" s="397">
        <f>Variable_Management!B134</f>
        <v>4.8253232966608763</v>
      </c>
      <c r="I56" s="134" t="s">
        <v>145</v>
      </c>
      <c r="J56" s="126"/>
      <c r="K56" s="126"/>
      <c r="L56" s="126"/>
      <c r="M56" s="126"/>
      <c r="N56" s="126"/>
      <c r="O56" s="126"/>
      <c r="P56" s="126"/>
      <c r="Q56" s="126"/>
      <c r="R56" s="126"/>
      <c r="S56" s="126"/>
      <c r="T56" s="126"/>
      <c r="U56" s="127"/>
      <c r="V56" s="126"/>
      <c r="W56" s="126"/>
      <c r="X56" s="126"/>
      <c r="Y56" s="126"/>
      <c r="Z56" s="126"/>
      <c r="AA56" s="115"/>
    </row>
    <row r="57" spans="1:27" x14ac:dyDescent="0.25">
      <c r="A57" s="132"/>
      <c r="B57" s="127"/>
      <c r="C57" s="127"/>
      <c r="D57" s="127"/>
      <c r="E57" s="127"/>
      <c r="F57" s="127"/>
      <c r="G57" s="137" t="s">
        <v>703</v>
      </c>
      <c r="H57" s="319">
        <v>10</v>
      </c>
      <c r="I57" s="134" t="s">
        <v>146</v>
      </c>
      <c r="J57" s="126"/>
      <c r="K57" s="126"/>
      <c r="L57" s="126"/>
      <c r="M57" s="126"/>
      <c r="N57" s="126"/>
      <c r="O57" s="126"/>
      <c r="P57" s="126"/>
      <c r="Q57" s="126"/>
      <c r="R57" s="126"/>
      <c r="S57" s="126"/>
      <c r="T57" s="126"/>
      <c r="U57" s="127"/>
      <c r="V57" s="126"/>
      <c r="W57" s="126"/>
      <c r="X57" s="126"/>
      <c r="Y57" s="126"/>
      <c r="Z57" s="126"/>
      <c r="AA57" s="115"/>
    </row>
    <row r="58" spans="1:27" ht="15.75" thickBot="1" x14ac:dyDescent="0.3">
      <c r="A58" s="143"/>
      <c r="B58" s="138"/>
      <c r="C58" s="138"/>
      <c r="D58" s="138"/>
      <c r="E58" s="138"/>
      <c r="F58" s="138"/>
      <c r="G58" s="227" t="s">
        <v>679</v>
      </c>
      <c r="H58" s="320">
        <f>Variable_Management!B138</f>
        <v>109.45018650248116</v>
      </c>
      <c r="I58" s="139" t="s">
        <v>246</v>
      </c>
      <c r="J58" s="126"/>
      <c r="K58" s="126"/>
      <c r="L58" s="126"/>
      <c r="M58" s="126"/>
      <c r="N58" s="126"/>
      <c r="O58" s="126"/>
      <c r="P58" s="126"/>
      <c r="Q58" s="126"/>
      <c r="R58" s="126"/>
      <c r="S58" s="126"/>
      <c r="T58" s="126"/>
      <c r="U58" s="127"/>
      <c r="V58" s="126"/>
      <c r="W58" s="126"/>
      <c r="X58" s="126"/>
      <c r="Y58" s="126"/>
      <c r="Z58" s="126"/>
      <c r="AA58" s="115"/>
    </row>
    <row r="59" spans="1:27" x14ac:dyDescent="0.25">
      <c r="A59" s="127"/>
      <c r="B59" s="127"/>
      <c r="C59" s="127"/>
      <c r="D59" s="127"/>
      <c r="E59" s="127"/>
      <c r="F59" s="127"/>
      <c r="G59" s="137"/>
      <c r="H59" s="321"/>
      <c r="I59" s="127"/>
      <c r="J59" s="126"/>
      <c r="K59" s="126"/>
      <c r="L59" s="126"/>
      <c r="M59" s="126"/>
      <c r="N59" s="126"/>
      <c r="O59" s="126"/>
      <c r="P59" s="126"/>
      <c r="Q59" s="126"/>
      <c r="R59" s="126"/>
      <c r="S59" s="126"/>
      <c r="T59" s="126"/>
      <c r="U59" s="127"/>
      <c r="V59" s="126"/>
      <c r="W59" s="126"/>
      <c r="X59" s="126"/>
      <c r="Y59" s="126"/>
      <c r="Z59" s="126"/>
      <c r="AA59" s="115"/>
    </row>
    <row r="60" spans="1:27" ht="15.75" thickBot="1" x14ac:dyDescent="0.3">
      <c r="A60" s="141" t="s">
        <v>619</v>
      </c>
      <c r="B60" s="127"/>
      <c r="C60" s="127"/>
      <c r="D60" s="127"/>
      <c r="E60" s="127"/>
      <c r="F60" s="127"/>
      <c r="G60" s="137"/>
      <c r="H60" s="256"/>
      <c r="I60" s="258"/>
      <c r="J60" s="126"/>
      <c r="K60" s="126"/>
      <c r="L60" s="126"/>
      <c r="M60" s="126"/>
      <c r="N60" s="126"/>
      <c r="O60" s="126"/>
      <c r="P60" s="126"/>
      <c r="Q60" s="126"/>
      <c r="R60" s="126"/>
      <c r="S60" s="126"/>
      <c r="T60" s="126"/>
      <c r="U60" s="127"/>
      <c r="V60" s="126"/>
      <c r="W60" s="126"/>
      <c r="X60" s="126"/>
      <c r="Y60" s="126"/>
      <c r="Z60" s="126"/>
      <c r="AA60" s="115"/>
    </row>
    <row r="61" spans="1:27" x14ac:dyDescent="0.25">
      <c r="A61" s="128"/>
      <c r="B61" s="129"/>
      <c r="C61" s="129"/>
      <c r="D61" s="129"/>
      <c r="E61" s="129"/>
      <c r="F61" s="129"/>
      <c r="G61" s="276" t="s">
        <v>557</v>
      </c>
      <c r="H61" s="152">
        <v>1800</v>
      </c>
      <c r="I61" s="131" t="s">
        <v>146</v>
      </c>
      <c r="J61" s="126"/>
      <c r="K61" s="126"/>
      <c r="L61" s="126"/>
      <c r="M61" s="126"/>
      <c r="N61" s="126"/>
      <c r="O61" s="126"/>
      <c r="P61" s="126"/>
      <c r="Q61" s="126"/>
      <c r="R61" s="126"/>
      <c r="S61" s="126"/>
      <c r="T61" s="126"/>
      <c r="U61" s="127"/>
      <c r="V61" s="126"/>
      <c r="W61" s="126"/>
      <c r="X61" s="126"/>
      <c r="Y61" s="126"/>
      <c r="Z61" s="126"/>
      <c r="AA61" s="115"/>
    </row>
    <row r="62" spans="1:27" x14ac:dyDescent="0.25">
      <c r="A62" s="132"/>
      <c r="B62" s="127"/>
      <c r="C62" s="127"/>
      <c r="D62" s="127"/>
      <c r="E62" s="127"/>
      <c r="F62" s="127"/>
      <c r="G62" s="283" t="s">
        <v>596</v>
      </c>
      <c r="H62" s="234">
        <v>11.2</v>
      </c>
      <c r="I62" s="261" t="s">
        <v>29</v>
      </c>
      <c r="J62" s="126"/>
      <c r="K62" s="126"/>
      <c r="L62" s="126"/>
      <c r="M62" s="126"/>
      <c r="N62" s="126"/>
      <c r="O62" s="126"/>
      <c r="P62" s="126"/>
      <c r="Q62" s="126"/>
      <c r="R62" s="126"/>
      <c r="S62" s="126"/>
      <c r="T62" s="126"/>
      <c r="U62" s="127"/>
      <c r="V62" s="126"/>
      <c r="W62" s="126"/>
      <c r="X62" s="126"/>
      <c r="Y62" s="126"/>
      <c r="Z62" s="126"/>
      <c r="AA62" s="115"/>
    </row>
    <row r="63" spans="1:27" ht="15.75" x14ac:dyDescent="0.3">
      <c r="A63" s="132"/>
      <c r="B63" s="127"/>
      <c r="C63" s="127"/>
      <c r="D63" s="127"/>
      <c r="E63" s="127"/>
      <c r="F63" s="127"/>
      <c r="G63" s="137" t="s">
        <v>534</v>
      </c>
      <c r="H63" s="153">
        <v>1.1000000000000001</v>
      </c>
      <c r="I63" s="134" t="s">
        <v>5</v>
      </c>
      <c r="J63" s="126"/>
      <c r="K63" s="126"/>
      <c r="L63" s="126"/>
      <c r="M63" s="126"/>
      <c r="N63" s="126"/>
      <c r="O63" s="126"/>
      <c r="P63" s="126"/>
      <c r="Q63" s="126"/>
      <c r="R63" s="126"/>
      <c r="S63" s="126"/>
      <c r="T63" s="126"/>
      <c r="U63" s="127"/>
      <c r="V63" s="126"/>
      <c r="W63" s="126"/>
      <c r="X63" s="126"/>
      <c r="Y63" s="126"/>
      <c r="Z63" s="126"/>
      <c r="AA63" s="115"/>
    </row>
    <row r="64" spans="1:27" ht="15.75" thickBot="1" x14ac:dyDescent="0.3">
      <c r="A64" s="143"/>
      <c r="B64" s="138"/>
      <c r="C64" s="138"/>
      <c r="D64" s="138"/>
      <c r="E64" s="138"/>
      <c r="F64" s="138"/>
      <c r="G64" s="227" t="s">
        <v>623</v>
      </c>
      <c r="H64" s="304">
        <f>Variable_Management!B144</f>
        <v>33.795330992296584</v>
      </c>
      <c r="I64" s="139" t="s">
        <v>550</v>
      </c>
      <c r="J64" s="126"/>
      <c r="K64" s="126"/>
      <c r="L64" s="126"/>
      <c r="M64" s="126"/>
      <c r="N64" s="126"/>
      <c r="O64" s="126"/>
      <c r="P64" s="126"/>
      <c r="Q64" s="126"/>
      <c r="R64" s="126"/>
      <c r="S64" s="126"/>
      <c r="T64" s="126"/>
      <c r="U64" s="127"/>
      <c r="V64" s="126"/>
      <c r="W64" s="126"/>
      <c r="X64" s="126"/>
      <c r="Y64" s="126"/>
      <c r="Z64" s="126"/>
      <c r="AA64" s="115"/>
    </row>
    <row r="65" spans="1:27" x14ac:dyDescent="0.25">
      <c r="A65" s="126"/>
      <c r="B65" s="126"/>
      <c r="C65" s="126"/>
      <c r="D65" s="126"/>
      <c r="E65" s="126"/>
      <c r="F65" s="126"/>
      <c r="G65" s="280"/>
      <c r="H65" s="126"/>
      <c r="I65" s="126"/>
      <c r="J65" s="126"/>
      <c r="K65" s="126"/>
      <c r="L65" s="126"/>
      <c r="M65" s="126"/>
      <c r="N65" s="126"/>
      <c r="O65" s="126"/>
      <c r="P65" s="126"/>
      <c r="Q65" s="126"/>
      <c r="R65" s="126"/>
      <c r="S65" s="126"/>
      <c r="T65" s="126"/>
      <c r="U65" s="127"/>
      <c r="V65" s="126"/>
      <c r="W65" s="126"/>
      <c r="X65" s="126"/>
      <c r="Y65" s="126"/>
      <c r="Z65" s="126"/>
      <c r="AA65" s="115"/>
    </row>
    <row r="66" spans="1:27" ht="15.75" thickBot="1" x14ac:dyDescent="0.3">
      <c r="A66" s="141" t="s">
        <v>624</v>
      </c>
      <c r="B66" s="127"/>
      <c r="C66" s="127"/>
      <c r="D66" s="127"/>
      <c r="E66" s="127"/>
      <c r="F66" s="127"/>
      <c r="G66" s="137"/>
      <c r="H66" s="256"/>
      <c r="I66" s="258"/>
      <c r="J66" s="126"/>
      <c r="K66" s="126"/>
      <c r="L66" s="126"/>
      <c r="M66" s="126"/>
      <c r="N66" s="126"/>
      <c r="O66" s="126"/>
      <c r="P66" s="126"/>
      <c r="Q66" s="126"/>
      <c r="R66" s="126"/>
      <c r="S66" s="126"/>
      <c r="T66" s="126"/>
      <c r="U66" s="127"/>
      <c r="V66" s="126"/>
      <c r="W66" s="126"/>
      <c r="X66" s="126"/>
      <c r="Y66" s="126"/>
      <c r="Z66" s="126"/>
      <c r="AA66" s="115"/>
    </row>
    <row r="67" spans="1:27" x14ac:dyDescent="0.25">
      <c r="A67" s="357" t="s">
        <v>561</v>
      </c>
      <c r="B67" s="358"/>
      <c r="C67" s="359"/>
      <c r="D67" s="355" t="s">
        <v>565</v>
      </c>
      <c r="E67" s="360"/>
      <c r="F67" s="356"/>
      <c r="G67" s="355" t="s">
        <v>570</v>
      </c>
      <c r="H67" s="356"/>
      <c r="I67" s="127"/>
      <c r="J67" s="127"/>
      <c r="K67" s="126"/>
      <c r="L67" s="126"/>
      <c r="M67" s="126"/>
      <c r="N67" s="126"/>
      <c r="O67" s="126"/>
      <c r="P67" s="126"/>
      <c r="Q67" s="126"/>
      <c r="R67" s="126"/>
      <c r="S67" s="126"/>
      <c r="T67" s="126"/>
      <c r="U67" s="127"/>
      <c r="V67" s="126"/>
      <c r="W67" s="126"/>
      <c r="X67" s="126"/>
      <c r="Y67" s="126"/>
      <c r="Z67" s="126"/>
      <c r="AA67" s="115"/>
    </row>
    <row r="68" spans="1:27" x14ac:dyDescent="0.25">
      <c r="A68" s="132"/>
      <c r="B68" s="127"/>
      <c r="C68" s="127"/>
      <c r="D68" s="132"/>
      <c r="E68" s="127"/>
      <c r="F68" s="134"/>
      <c r="G68" s="305"/>
      <c r="H68" s="297"/>
      <c r="I68" s="127"/>
      <c r="J68" s="127"/>
      <c r="K68" s="126"/>
      <c r="L68" s="126"/>
      <c r="M68" s="126"/>
      <c r="N68" s="126"/>
      <c r="O68" s="126"/>
      <c r="P68" s="126"/>
      <c r="Q68" s="126"/>
      <c r="R68" s="126"/>
      <c r="S68" s="126"/>
      <c r="T68" s="126"/>
      <c r="U68" s="127"/>
      <c r="V68" s="126"/>
      <c r="W68" s="126"/>
      <c r="X68" s="126"/>
      <c r="Y68" s="126"/>
      <c r="Z68" s="126"/>
      <c r="AA68" s="115"/>
    </row>
    <row r="69" spans="1:27" x14ac:dyDescent="0.25">
      <c r="A69" s="132"/>
      <c r="B69" s="127"/>
      <c r="C69" s="127"/>
      <c r="D69" s="132"/>
      <c r="E69" s="127"/>
      <c r="F69" s="134"/>
      <c r="G69" s="305"/>
      <c r="H69" s="297"/>
      <c r="I69" s="127"/>
      <c r="J69" s="127"/>
      <c r="K69" s="126"/>
      <c r="L69" s="126"/>
      <c r="M69" s="126"/>
      <c r="N69" s="126"/>
      <c r="O69" s="126"/>
      <c r="P69" s="126"/>
      <c r="Q69" s="126"/>
      <c r="R69" s="126"/>
      <c r="S69" s="126"/>
      <c r="T69" s="126"/>
      <c r="U69" s="127"/>
      <c r="V69" s="126"/>
      <c r="W69" s="126"/>
      <c r="X69" s="126"/>
      <c r="Y69" s="126"/>
      <c r="Z69" s="126"/>
      <c r="AA69" s="115"/>
    </row>
    <row r="70" spans="1:27" x14ac:dyDescent="0.25">
      <c r="A70" s="132"/>
      <c r="B70" s="127"/>
      <c r="C70" s="127"/>
      <c r="D70" s="132"/>
      <c r="E70" s="127"/>
      <c r="F70" s="134"/>
      <c r="G70" s="305"/>
      <c r="H70" s="297"/>
      <c r="I70" s="127"/>
      <c r="J70" s="127"/>
      <c r="K70" s="126"/>
      <c r="L70" s="126"/>
      <c r="M70" s="126"/>
      <c r="N70" s="126"/>
      <c r="O70" s="126"/>
      <c r="P70" s="126"/>
      <c r="Q70" s="126"/>
      <c r="R70" s="126"/>
      <c r="S70" s="126"/>
      <c r="T70" s="126"/>
      <c r="U70" s="127"/>
      <c r="V70" s="126"/>
      <c r="W70" s="126"/>
      <c r="X70" s="126"/>
      <c r="Y70" s="126"/>
      <c r="Z70" s="126"/>
      <c r="AA70" s="115"/>
    </row>
    <row r="71" spans="1:27" x14ac:dyDescent="0.25">
      <c r="A71" s="132"/>
      <c r="B71" s="127"/>
      <c r="C71" s="127"/>
      <c r="D71" s="132"/>
      <c r="E71" s="127"/>
      <c r="F71" s="134"/>
      <c r="G71" s="305"/>
      <c r="H71" s="297"/>
      <c r="I71" s="311"/>
      <c r="J71" s="127"/>
      <c r="K71" s="126"/>
      <c r="L71" s="126"/>
      <c r="M71" s="126"/>
      <c r="N71" s="126"/>
      <c r="O71" s="126"/>
      <c r="P71" s="126"/>
      <c r="Q71" s="126"/>
      <c r="R71" s="126"/>
      <c r="S71" s="126"/>
      <c r="T71" s="126"/>
      <c r="U71" s="127"/>
      <c r="V71" s="126"/>
      <c r="W71" s="126"/>
      <c r="X71" s="126"/>
      <c r="Y71" s="126"/>
      <c r="Z71" s="126"/>
      <c r="AA71" s="115"/>
    </row>
    <row r="72" spans="1:27" x14ac:dyDescent="0.25">
      <c r="A72" s="132"/>
      <c r="B72" s="127"/>
      <c r="C72" s="127"/>
      <c r="D72" s="132"/>
      <c r="E72" s="127"/>
      <c r="F72" s="134"/>
      <c r="G72" s="361" t="str">
        <f>"SYNCIN: "&amp;Variable_Management!B166&amp;IF(Variable_Management!B7=1,", SYNCOUT: "&amp;Variable_Management!B167,"")</f>
        <v>SYNCIN: ON, SYNCOUT: OFF</v>
      </c>
      <c r="H72" s="362"/>
      <c r="I72" s="127"/>
      <c r="J72" s="127"/>
      <c r="K72" s="126"/>
      <c r="L72" s="126"/>
      <c r="M72" s="126"/>
      <c r="N72" s="126"/>
      <c r="O72" s="126"/>
      <c r="P72" s="126"/>
      <c r="Q72" s="126"/>
      <c r="R72" s="126"/>
      <c r="S72" s="126"/>
      <c r="T72" s="126"/>
      <c r="U72" s="127"/>
      <c r="V72" s="126"/>
      <c r="W72" s="126"/>
      <c r="X72" s="126"/>
      <c r="Y72" s="126"/>
      <c r="Z72" s="126"/>
      <c r="AA72" s="115"/>
    </row>
    <row r="73" spans="1:27" x14ac:dyDescent="0.25">
      <c r="A73" s="132"/>
      <c r="B73" s="127"/>
      <c r="C73" s="127"/>
      <c r="D73" s="132"/>
      <c r="E73" s="127"/>
      <c r="F73" s="134"/>
      <c r="G73" s="363" t="str">
        <f>"Phase shift of phase 2: "&amp;Variable_Management!B168</f>
        <v>Phase shift of phase 2: 180°</v>
      </c>
      <c r="H73" s="364"/>
      <c r="I73" s="312"/>
      <c r="J73" s="127"/>
      <c r="K73" s="126"/>
      <c r="L73" s="126"/>
      <c r="M73" s="126"/>
      <c r="N73" s="126"/>
      <c r="O73" s="126"/>
      <c r="P73" s="126"/>
      <c r="Q73" s="126"/>
      <c r="R73" s="126"/>
      <c r="S73" s="126"/>
      <c r="T73" s="126"/>
      <c r="U73" s="127"/>
      <c r="V73" s="126"/>
      <c r="W73" s="126"/>
      <c r="X73" s="126"/>
      <c r="Y73" s="126"/>
      <c r="Z73" s="126"/>
      <c r="AA73" s="115"/>
    </row>
    <row r="74" spans="1:27" x14ac:dyDescent="0.25">
      <c r="A74" s="132"/>
      <c r="B74" s="127"/>
      <c r="C74" s="127"/>
      <c r="D74" s="132"/>
      <c r="E74" s="127"/>
      <c r="F74" s="134"/>
      <c r="G74" s="316" t="s">
        <v>672</v>
      </c>
      <c r="H74" s="317" t="str">
        <f>Variable_Management!B170</f>
        <v>OFF</v>
      </c>
      <c r="I74" s="312"/>
      <c r="J74" s="127"/>
      <c r="K74" s="126"/>
      <c r="L74" s="126"/>
      <c r="M74" s="126"/>
      <c r="N74" s="126"/>
      <c r="O74" s="126"/>
      <c r="P74" s="126"/>
      <c r="Q74" s="126"/>
      <c r="R74" s="126"/>
      <c r="S74" s="126"/>
      <c r="T74" s="126"/>
      <c r="U74" s="127"/>
      <c r="V74" s="126"/>
      <c r="W74" s="126"/>
      <c r="X74" s="126"/>
      <c r="Y74" s="126"/>
      <c r="Z74" s="126"/>
      <c r="AA74" s="115"/>
    </row>
    <row r="75" spans="1:27" ht="15.75" thickBot="1" x14ac:dyDescent="0.3">
      <c r="A75" s="308" t="str">
        <f>"Lv"&amp;Variable_Management!B150</f>
        <v>Lv3</v>
      </c>
      <c r="B75" s="353" t="str">
        <f>Variable_Management!B151&amp;"kΩ"</f>
        <v>1.00~1.30kΩ</v>
      </c>
      <c r="C75" s="354"/>
      <c r="D75" s="308" t="str">
        <f>"Lv"&amp;Variable_Management!B157</f>
        <v>Lv10</v>
      </c>
      <c r="E75" s="353" t="str">
        <f>Variable_Management!B158&amp;"kΩ"</f>
        <v>9.98~11.03kΩ</v>
      </c>
      <c r="F75" s="354"/>
      <c r="G75" s="309" t="str">
        <f>"Lv"&amp;Variable_Management!B164</f>
        <v>Lv5</v>
      </c>
      <c r="H75" s="310" t="str">
        <f>Variable_Management!B165&amp;"kΩ"</f>
        <v>2.57~2.84kΩ</v>
      </c>
      <c r="I75" s="127"/>
      <c r="J75" s="127"/>
      <c r="K75" s="126"/>
      <c r="L75" s="126"/>
      <c r="M75" s="126"/>
      <c r="N75" s="126"/>
      <c r="O75" s="126"/>
      <c r="P75" s="126"/>
      <c r="Q75" s="126"/>
      <c r="R75" s="126"/>
      <c r="S75" s="126"/>
      <c r="T75" s="126"/>
      <c r="U75" s="127"/>
      <c r="V75" s="126"/>
      <c r="W75" s="126"/>
      <c r="X75" s="126"/>
      <c r="Y75" s="126"/>
      <c r="Z75" s="126"/>
      <c r="AA75" s="115"/>
    </row>
    <row r="76" spans="1:27" x14ac:dyDescent="0.25">
      <c r="A76" s="126"/>
      <c r="B76" s="126"/>
      <c r="C76" s="126"/>
      <c r="D76" s="126"/>
      <c r="E76" s="126"/>
      <c r="F76" s="126"/>
      <c r="G76" s="280"/>
      <c r="H76" s="126"/>
      <c r="I76" s="127"/>
      <c r="J76" s="126"/>
      <c r="K76" s="126"/>
      <c r="L76" s="126"/>
      <c r="M76" s="126"/>
      <c r="N76" s="126"/>
      <c r="O76" s="126"/>
      <c r="P76" s="126"/>
      <c r="Q76" s="126"/>
      <c r="R76" s="126"/>
      <c r="S76" s="126"/>
      <c r="T76" s="126"/>
      <c r="U76" s="127"/>
      <c r="V76" s="126"/>
      <c r="W76" s="126"/>
      <c r="X76" s="126"/>
      <c r="Y76" s="126"/>
      <c r="Z76" s="126"/>
      <c r="AA76" s="115"/>
    </row>
    <row r="77" spans="1:27" ht="15.75" thickBot="1" x14ac:dyDescent="0.3">
      <c r="A77" s="240" t="s">
        <v>620</v>
      </c>
      <c r="B77" s="126"/>
      <c r="C77" s="126"/>
      <c r="D77" s="126"/>
      <c r="E77" s="126"/>
      <c r="F77" s="126"/>
      <c r="G77" s="280"/>
      <c r="H77" s="126"/>
      <c r="I77" s="126"/>
      <c r="J77" s="126"/>
      <c r="K77" s="126"/>
      <c r="L77" s="126"/>
      <c r="M77" s="126"/>
      <c r="N77" s="126"/>
      <c r="O77" s="126"/>
      <c r="P77" s="126"/>
      <c r="Q77" s="126"/>
      <c r="R77" s="126"/>
      <c r="S77" s="126"/>
      <c r="T77" s="126"/>
      <c r="U77" s="127"/>
      <c r="V77" s="126"/>
      <c r="W77" s="126"/>
      <c r="X77" s="126"/>
      <c r="Y77" s="126"/>
      <c r="Z77" s="126"/>
      <c r="AA77" s="115"/>
    </row>
    <row r="78" spans="1:27" x14ac:dyDescent="0.25">
      <c r="A78" s="128"/>
      <c r="B78" s="129"/>
      <c r="C78" s="129"/>
      <c r="D78" s="129"/>
      <c r="E78" s="129"/>
      <c r="F78" s="129"/>
      <c r="G78" s="276" t="s">
        <v>704</v>
      </c>
      <c r="H78" s="272">
        <v>7.7</v>
      </c>
      <c r="I78" s="238" t="s">
        <v>5</v>
      </c>
      <c r="J78" s="126"/>
      <c r="K78" s="126"/>
      <c r="L78" s="126"/>
      <c r="M78" s="126"/>
      <c r="N78" s="126"/>
      <c r="O78" s="126"/>
      <c r="P78" s="126"/>
      <c r="Q78" s="126"/>
      <c r="R78" s="126"/>
      <c r="S78" s="126"/>
      <c r="T78" s="126"/>
      <c r="U78" s="127"/>
      <c r="V78" s="126"/>
      <c r="W78" s="126"/>
      <c r="X78" s="126"/>
      <c r="Y78" s="126"/>
      <c r="Z78" s="126"/>
      <c r="AA78" s="115"/>
    </row>
    <row r="79" spans="1:27" x14ac:dyDescent="0.25">
      <c r="A79" s="132"/>
      <c r="B79" s="127"/>
      <c r="C79" s="127"/>
      <c r="D79" s="127"/>
      <c r="E79" s="127"/>
      <c r="F79" s="127"/>
      <c r="G79" s="137" t="s">
        <v>705</v>
      </c>
      <c r="H79" s="271">
        <v>5.7</v>
      </c>
      <c r="I79" s="155" t="s">
        <v>5</v>
      </c>
      <c r="J79" s="126"/>
      <c r="K79" s="126"/>
      <c r="L79" s="126"/>
      <c r="M79" s="126"/>
      <c r="N79" s="126"/>
      <c r="O79" s="126"/>
      <c r="P79" s="126"/>
      <c r="Q79" s="126"/>
      <c r="R79" s="126"/>
      <c r="S79" s="126"/>
      <c r="T79" s="126"/>
      <c r="U79" s="127"/>
      <c r="V79" s="126"/>
      <c r="W79" s="126"/>
      <c r="X79" s="126"/>
      <c r="Y79" s="126"/>
      <c r="Z79" s="126"/>
      <c r="AA79" s="115"/>
    </row>
    <row r="80" spans="1:27" x14ac:dyDescent="0.25">
      <c r="A80" s="132"/>
      <c r="B80" s="127"/>
      <c r="C80" s="127"/>
      <c r="D80" s="127"/>
      <c r="E80" s="127"/>
      <c r="F80" s="127"/>
      <c r="G80" s="137" t="s">
        <v>706</v>
      </c>
      <c r="H80" s="273">
        <f>Variable_Management!B178/1000</f>
        <v>186.74418604651166</v>
      </c>
      <c r="I80" s="270" t="s">
        <v>145</v>
      </c>
      <c r="J80" s="126"/>
      <c r="K80" s="126"/>
      <c r="L80" s="126"/>
      <c r="M80" s="126"/>
      <c r="N80" s="126"/>
      <c r="O80" s="126"/>
      <c r="P80" s="126"/>
      <c r="Q80" s="126"/>
      <c r="R80" s="126"/>
      <c r="S80" s="126"/>
      <c r="T80" s="126"/>
      <c r="U80" s="127"/>
      <c r="V80" s="126"/>
      <c r="W80" s="126"/>
      <c r="X80" s="126"/>
      <c r="Y80" s="126"/>
      <c r="Z80" s="126"/>
      <c r="AA80" s="115"/>
    </row>
    <row r="81" spans="1:27" x14ac:dyDescent="0.25">
      <c r="A81" s="132"/>
      <c r="B81" s="127"/>
      <c r="C81" s="127"/>
      <c r="D81" s="127"/>
      <c r="E81" s="127"/>
      <c r="F81" s="127"/>
      <c r="G81" s="137" t="s">
        <v>707</v>
      </c>
      <c r="H81" s="271">
        <v>180</v>
      </c>
      <c r="I81" s="270" t="s">
        <v>145</v>
      </c>
      <c r="J81" s="126"/>
      <c r="K81" s="126"/>
      <c r="L81" s="126"/>
      <c r="M81" s="126"/>
      <c r="N81" s="126"/>
      <c r="O81" s="126"/>
      <c r="P81" s="126"/>
      <c r="Q81" s="126"/>
      <c r="R81" s="126"/>
      <c r="S81" s="126"/>
      <c r="T81" s="126"/>
      <c r="U81" s="127"/>
      <c r="V81" s="126"/>
      <c r="W81" s="126"/>
      <c r="X81" s="126"/>
      <c r="Y81" s="126"/>
      <c r="Z81" s="126"/>
      <c r="AA81" s="115"/>
    </row>
    <row r="82" spans="1:27" x14ac:dyDescent="0.25">
      <c r="A82" s="127"/>
      <c r="B82" s="127"/>
      <c r="C82" s="127"/>
      <c r="D82" s="127"/>
      <c r="E82" s="127"/>
      <c r="F82" s="127"/>
      <c r="G82" s="137" t="s">
        <v>708</v>
      </c>
      <c r="H82" s="274">
        <f>Ruvlo_bottom_calc/1000</f>
        <v>41.837837837837839</v>
      </c>
      <c r="I82" s="270" t="s">
        <v>145</v>
      </c>
      <c r="J82" s="126"/>
      <c r="K82" s="126"/>
      <c r="L82" s="126"/>
      <c r="M82" s="126"/>
      <c r="N82" s="126"/>
      <c r="O82" s="126"/>
      <c r="P82" s="126"/>
      <c r="Q82" s="126"/>
      <c r="R82" s="126"/>
      <c r="S82" s="126"/>
      <c r="T82" s="126"/>
      <c r="U82" s="127"/>
      <c r="V82" s="126"/>
      <c r="W82" s="126"/>
      <c r="X82" s="126"/>
      <c r="Y82" s="126"/>
      <c r="Z82" s="126"/>
      <c r="AA82" s="115"/>
    </row>
    <row r="83" spans="1:27" x14ac:dyDescent="0.25">
      <c r="A83" s="132"/>
      <c r="B83" s="127"/>
      <c r="C83" s="127"/>
      <c r="D83" s="127"/>
      <c r="E83" s="127"/>
      <c r="F83" s="127"/>
      <c r="G83" s="137" t="s">
        <v>707</v>
      </c>
      <c r="H83" s="271">
        <v>42.2</v>
      </c>
      <c r="I83" s="270" t="s">
        <v>145</v>
      </c>
      <c r="J83" s="126"/>
      <c r="K83" s="126"/>
      <c r="L83" s="126"/>
      <c r="M83" s="126"/>
      <c r="N83" s="126"/>
      <c r="O83" s="126"/>
      <c r="P83" s="126"/>
      <c r="Q83" s="126"/>
      <c r="R83" s="126"/>
      <c r="S83" s="126"/>
      <c r="T83" s="126"/>
      <c r="U83" s="127"/>
      <c r="V83" s="126"/>
      <c r="W83" s="126"/>
      <c r="X83" s="126"/>
      <c r="Y83" s="126"/>
      <c r="Z83" s="126"/>
      <c r="AA83" s="115"/>
    </row>
    <row r="84" spans="1:27" x14ac:dyDescent="0.25">
      <c r="A84" s="132"/>
      <c r="B84" s="127"/>
      <c r="C84" s="127"/>
      <c r="D84" s="127"/>
      <c r="E84" s="127"/>
      <c r="F84" s="127"/>
      <c r="G84" s="137" t="s">
        <v>709</v>
      </c>
      <c r="H84" s="323">
        <f>Variable_Management!B182</f>
        <v>7.591943127962085</v>
      </c>
      <c r="I84" s="155" t="s">
        <v>5</v>
      </c>
      <c r="J84" s="126"/>
      <c r="K84" s="126"/>
      <c r="L84" s="126"/>
      <c r="M84" s="126"/>
      <c r="N84" s="126"/>
      <c r="O84" s="126"/>
      <c r="P84" s="126"/>
      <c r="Q84" s="126"/>
      <c r="R84" s="126"/>
      <c r="S84" s="126"/>
      <c r="T84" s="126"/>
      <c r="U84" s="127"/>
      <c r="V84" s="126"/>
      <c r="W84" s="126"/>
      <c r="X84" s="126"/>
      <c r="Y84" s="126"/>
      <c r="Z84" s="126"/>
      <c r="AA84" s="115"/>
    </row>
    <row r="85" spans="1:27" ht="15.75" thickBot="1" x14ac:dyDescent="0.3">
      <c r="A85" s="143"/>
      <c r="B85" s="138"/>
      <c r="C85" s="138"/>
      <c r="D85" s="138"/>
      <c r="E85" s="138"/>
      <c r="F85" s="138"/>
      <c r="G85" s="227" t="s">
        <v>710</v>
      </c>
      <c r="H85" s="324">
        <f>Variable_Management!B183</f>
        <v>5.6603080568720374</v>
      </c>
      <c r="I85" s="260" t="s">
        <v>5</v>
      </c>
      <c r="J85" s="126"/>
      <c r="K85" s="126"/>
      <c r="L85" s="126"/>
      <c r="M85" s="126"/>
      <c r="N85" s="126"/>
      <c r="O85" s="126"/>
      <c r="P85" s="126"/>
      <c r="Q85" s="126"/>
      <c r="R85" s="126"/>
      <c r="S85" s="126"/>
      <c r="T85" s="126"/>
      <c r="U85" s="127"/>
      <c r="V85" s="126"/>
      <c r="W85" s="126"/>
      <c r="X85" s="126"/>
      <c r="Y85" s="126"/>
      <c r="Z85" s="126"/>
      <c r="AA85" s="115"/>
    </row>
    <row r="86" spans="1:27" x14ac:dyDescent="0.25">
      <c r="A86" s="127"/>
      <c r="B86" s="127"/>
      <c r="C86" s="127"/>
      <c r="D86" s="127"/>
      <c r="E86" s="127"/>
      <c r="F86" s="127"/>
      <c r="G86" s="137"/>
      <c r="H86" s="269"/>
      <c r="I86" s="258"/>
      <c r="J86" s="126"/>
      <c r="K86" s="126"/>
      <c r="L86" s="126"/>
      <c r="M86" s="126"/>
      <c r="N86" s="126"/>
      <c r="O86" s="126"/>
      <c r="P86" s="126"/>
      <c r="Q86" s="126"/>
      <c r="R86" s="126"/>
      <c r="S86" s="126"/>
      <c r="T86" s="126"/>
      <c r="U86" s="127"/>
      <c r="V86" s="126"/>
      <c r="W86" s="126"/>
      <c r="X86" s="126"/>
      <c r="Y86" s="126"/>
      <c r="Z86" s="126"/>
      <c r="AA86" s="115"/>
    </row>
    <row r="87" spans="1:27" ht="15.75" thickBot="1" x14ac:dyDescent="0.3">
      <c r="A87" s="141" t="s">
        <v>621</v>
      </c>
      <c r="B87" s="126"/>
      <c r="C87" s="126"/>
      <c r="D87" s="126"/>
      <c r="E87" s="126"/>
      <c r="F87" s="126"/>
      <c r="G87" s="280"/>
      <c r="H87" s="126"/>
      <c r="I87" s="126"/>
      <c r="J87" s="126"/>
      <c r="K87" s="126"/>
      <c r="L87" s="126"/>
      <c r="M87" s="126"/>
      <c r="N87" s="126"/>
      <c r="O87" s="126"/>
      <c r="P87" s="126"/>
      <c r="Q87" s="126"/>
      <c r="R87" s="126"/>
      <c r="S87" s="126"/>
      <c r="T87" s="126"/>
      <c r="U87" s="127"/>
      <c r="V87" s="126"/>
      <c r="W87" s="126"/>
      <c r="X87" s="126"/>
      <c r="Y87" s="126"/>
      <c r="Z87" s="126"/>
      <c r="AA87" s="115"/>
    </row>
    <row r="88" spans="1:27" x14ac:dyDescent="0.25">
      <c r="A88" s="128"/>
      <c r="B88" s="129"/>
      <c r="C88" s="129"/>
      <c r="D88" s="129"/>
      <c r="E88" s="129"/>
      <c r="F88" s="129"/>
      <c r="G88" s="276" t="s">
        <v>711</v>
      </c>
      <c r="H88" s="160">
        <f>Variable_Management!B187*(10^9)</f>
        <v>92.045454545454533</v>
      </c>
      <c r="I88" s="131" t="s">
        <v>147</v>
      </c>
      <c r="J88" s="126"/>
      <c r="K88" s="126"/>
      <c r="L88" s="126"/>
      <c r="M88" s="126"/>
      <c r="N88" s="126"/>
      <c r="O88" s="126"/>
      <c r="P88" s="126"/>
      <c r="Q88" s="126"/>
      <c r="R88" s="126"/>
      <c r="S88" s="126"/>
      <c r="T88" s="126"/>
      <c r="U88" s="127"/>
      <c r="V88" s="126"/>
      <c r="W88" s="126"/>
      <c r="X88" s="126"/>
      <c r="Y88" s="126"/>
      <c r="Z88" s="126"/>
      <c r="AA88" s="115"/>
    </row>
    <row r="89" spans="1:27" x14ac:dyDescent="0.25">
      <c r="A89" s="132"/>
      <c r="B89" s="127"/>
      <c r="C89" s="127"/>
      <c r="D89" s="127"/>
      <c r="E89" s="127"/>
      <c r="F89" s="127"/>
      <c r="G89" s="137" t="s">
        <v>712</v>
      </c>
      <c r="H89" s="153">
        <v>10</v>
      </c>
      <c r="I89" s="134" t="s">
        <v>246</v>
      </c>
      <c r="J89" s="126"/>
      <c r="K89" s="126"/>
      <c r="L89" s="126"/>
      <c r="M89" s="126"/>
      <c r="N89" s="126"/>
      <c r="O89" s="126"/>
      <c r="P89" s="126"/>
      <c r="Q89" s="126"/>
      <c r="R89" s="126"/>
      <c r="S89" s="126"/>
      <c r="T89" s="126"/>
      <c r="U89" s="127"/>
      <c r="V89" s="126"/>
      <c r="W89" s="126"/>
      <c r="X89" s="126"/>
      <c r="Y89" s="126"/>
      <c r="Z89" s="126"/>
      <c r="AA89" s="115"/>
    </row>
    <row r="90" spans="1:27" ht="15.75" thickBot="1" x14ac:dyDescent="0.3">
      <c r="A90" s="143"/>
      <c r="B90" s="138"/>
      <c r="C90" s="138"/>
      <c r="D90" s="138"/>
      <c r="E90" s="138"/>
      <c r="F90" s="138"/>
      <c r="G90" s="227" t="s">
        <v>713</v>
      </c>
      <c r="H90" s="161">
        <f>Variable_Management!B189*(10^9)</f>
        <v>416.66666666666663</v>
      </c>
      <c r="I90" s="139" t="s">
        <v>147</v>
      </c>
      <c r="J90" s="126"/>
      <c r="K90" s="126"/>
      <c r="L90" s="126"/>
      <c r="M90" s="126"/>
      <c r="N90" s="126"/>
      <c r="O90" s="126"/>
      <c r="P90" s="126"/>
      <c r="Q90" s="126"/>
      <c r="R90" s="126"/>
      <c r="S90" s="126"/>
      <c r="T90" s="126"/>
      <c r="U90" s="127"/>
      <c r="V90" s="126"/>
      <c r="W90" s="126"/>
      <c r="X90" s="126"/>
      <c r="Y90" s="126"/>
      <c r="Z90" s="126"/>
      <c r="AA90" s="115"/>
    </row>
    <row r="91" spans="1:27" x14ac:dyDescent="0.25">
      <c r="A91" s="126"/>
      <c r="B91" s="126"/>
      <c r="C91" s="126"/>
      <c r="D91" s="126"/>
      <c r="E91" s="126"/>
      <c r="F91" s="126"/>
      <c r="G91" s="140"/>
      <c r="H91" s="126"/>
      <c r="I91" s="126"/>
      <c r="J91" s="126"/>
      <c r="K91" s="126"/>
      <c r="L91" s="126"/>
      <c r="M91" s="126"/>
      <c r="N91" s="126"/>
      <c r="O91" s="126"/>
      <c r="P91" s="126"/>
      <c r="Q91" s="126"/>
      <c r="R91" s="126"/>
      <c r="S91" s="126"/>
      <c r="T91" s="126"/>
      <c r="U91" s="127"/>
      <c r="V91" s="126"/>
      <c r="W91" s="126"/>
      <c r="X91" s="126"/>
      <c r="Y91" s="126"/>
      <c r="Z91" s="126"/>
      <c r="AA91" s="115"/>
    </row>
    <row r="92" spans="1:27" ht="15.75" thickBot="1" x14ac:dyDescent="0.3">
      <c r="A92" s="141" t="s">
        <v>622</v>
      </c>
      <c r="B92" s="126"/>
      <c r="C92" s="126"/>
      <c r="D92" s="126"/>
      <c r="E92" s="126"/>
      <c r="F92" s="126"/>
      <c r="G92" s="140"/>
      <c r="H92" s="126"/>
      <c r="I92" s="126"/>
      <c r="J92" s="126"/>
      <c r="K92" s="126"/>
      <c r="L92" s="126"/>
      <c r="M92" s="126"/>
      <c r="N92" s="126"/>
      <c r="O92" s="126"/>
      <c r="P92" s="126"/>
      <c r="Q92" s="126"/>
      <c r="R92" s="126"/>
      <c r="S92" s="126"/>
      <c r="T92" s="126"/>
      <c r="U92" s="127"/>
      <c r="V92" s="126"/>
      <c r="W92" s="126"/>
      <c r="X92" s="126"/>
      <c r="Y92" s="126"/>
      <c r="Z92" s="126"/>
      <c r="AA92" s="115"/>
    </row>
    <row r="93" spans="1:27" ht="15" customHeight="1" x14ac:dyDescent="0.25">
      <c r="A93" s="148"/>
      <c r="B93" s="129"/>
      <c r="C93" s="129"/>
      <c r="D93" s="129"/>
      <c r="E93" s="129"/>
      <c r="F93" s="129"/>
      <c r="G93" s="281" t="s">
        <v>714</v>
      </c>
      <c r="H93" s="329">
        <f>VIN_nom</f>
        <v>14.4</v>
      </c>
      <c r="I93" s="131" t="s">
        <v>5</v>
      </c>
      <c r="J93" s="126"/>
      <c r="K93" s="126"/>
      <c r="L93" s="126"/>
      <c r="M93" s="126"/>
      <c r="N93" s="126"/>
      <c r="O93" s="126"/>
      <c r="P93" s="126"/>
      <c r="Q93" s="126"/>
      <c r="R93" s="126"/>
      <c r="S93" s="126"/>
      <c r="T93" s="126"/>
      <c r="U93" s="127"/>
      <c r="V93" s="126"/>
      <c r="W93" s="126"/>
      <c r="X93" s="126"/>
      <c r="Y93" s="126"/>
      <c r="Z93" s="126"/>
      <c r="AA93" s="115"/>
    </row>
    <row r="94" spans="1:27" ht="6" customHeight="1" x14ac:dyDescent="0.25">
      <c r="A94" s="132"/>
      <c r="B94" s="127"/>
      <c r="C94" s="127"/>
      <c r="D94" s="127"/>
      <c r="E94" s="127"/>
      <c r="F94" s="127"/>
      <c r="G94" s="282"/>
      <c r="H94" s="330"/>
      <c r="I94" s="134"/>
      <c r="J94" s="126"/>
      <c r="K94" s="126"/>
      <c r="L94" s="126"/>
      <c r="M94" s="126"/>
      <c r="N94" s="126"/>
      <c r="O94" s="126"/>
      <c r="P94" s="126"/>
      <c r="Q94" s="126"/>
      <c r="R94" s="126"/>
      <c r="S94" s="126"/>
      <c r="T94" s="126"/>
      <c r="U94" s="127"/>
      <c r="V94" s="126"/>
      <c r="W94" s="126"/>
      <c r="X94" s="126"/>
      <c r="Y94" s="126"/>
      <c r="Z94" s="126"/>
      <c r="AA94" s="115"/>
    </row>
    <row r="95" spans="1:27" ht="15" customHeight="1" x14ac:dyDescent="0.25">
      <c r="A95" s="132"/>
      <c r="B95" s="127"/>
      <c r="C95" s="127"/>
      <c r="D95" s="127"/>
      <c r="E95" s="127"/>
      <c r="F95" s="127"/>
      <c r="G95" s="283" t="s">
        <v>715</v>
      </c>
      <c r="H95" s="331">
        <f>VOUT</f>
        <v>45</v>
      </c>
      <c r="I95" s="134" t="s">
        <v>5</v>
      </c>
      <c r="J95" s="126"/>
      <c r="K95" s="126"/>
      <c r="L95" s="126"/>
      <c r="M95" s="126"/>
      <c r="N95" s="126"/>
      <c r="O95" s="126"/>
      <c r="P95" s="126"/>
      <c r="Q95" s="126"/>
      <c r="R95" s="126"/>
      <c r="S95" s="126"/>
      <c r="T95" s="126"/>
      <c r="U95" s="127"/>
      <c r="V95" s="126"/>
      <c r="W95" s="126"/>
      <c r="X95" s="126"/>
      <c r="Y95" s="126"/>
      <c r="Z95" s="126"/>
      <c r="AA95" s="115"/>
    </row>
    <row r="96" spans="1:27" hidden="1" x14ac:dyDescent="0.25">
      <c r="A96" s="132"/>
      <c r="B96" s="127"/>
      <c r="C96" s="127"/>
      <c r="D96" s="127"/>
      <c r="E96" s="127"/>
      <c r="F96" s="127"/>
      <c r="G96" s="282"/>
      <c r="H96" s="330"/>
      <c r="I96" s="134"/>
      <c r="J96" s="126"/>
      <c r="K96" s="126"/>
      <c r="L96" s="126"/>
      <c r="M96" s="126"/>
      <c r="N96" s="126"/>
      <c r="O96" s="126"/>
      <c r="P96" s="126"/>
      <c r="Q96" s="126"/>
      <c r="R96" s="126"/>
      <c r="S96" s="126"/>
      <c r="T96" s="126"/>
      <c r="U96" s="127"/>
      <c r="V96" s="126"/>
      <c r="W96" s="126"/>
      <c r="X96" s="126"/>
      <c r="Y96" s="126"/>
      <c r="Z96" s="126"/>
      <c r="AA96" s="115"/>
    </row>
    <row r="97" spans="1:27" ht="6" customHeight="1" x14ac:dyDescent="0.25">
      <c r="A97" s="132"/>
      <c r="B97" s="127"/>
      <c r="C97" s="127"/>
      <c r="D97" s="127"/>
      <c r="E97" s="127"/>
      <c r="F97" s="127"/>
      <c r="G97" s="282"/>
      <c r="H97" s="330"/>
      <c r="I97" s="134"/>
      <c r="J97" s="126"/>
      <c r="K97" s="126"/>
      <c r="L97" s="126"/>
      <c r="M97" s="126"/>
      <c r="N97" s="126"/>
      <c r="O97" s="126"/>
      <c r="P97" s="126"/>
      <c r="Q97" s="126"/>
      <c r="R97" s="126"/>
      <c r="S97" s="126"/>
      <c r="T97" s="126"/>
      <c r="U97" s="127"/>
      <c r="V97" s="126"/>
      <c r="W97" s="126"/>
      <c r="X97" s="126"/>
      <c r="Y97" s="126"/>
      <c r="Z97" s="126"/>
      <c r="AA97" s="115"/>
    </row>
    <row r="98" spans="1:27" x14ac:dyDescent="0.25">
      <c r="A98" s="132"/>
      <c r="B98" s="127"/>
      <c r="C98" s="127"/>
      <c r="D98" s="127"/>
      <c r="E98" s="127"/>
      <c r="F98" s="127"/>
      <c r="G98" s="283" t="s">
        <v>716</v>
      </c>
      <c r="H98" s="332">
        <f>IOUT*Np</f>
        <v>22</v>
      </c>
      <c r="I98" s="134" t="s">
        <v>6</v>
      </c>
      <c r="J98" s="126"/>
      <c r="K98" s="126"/>
      <c r="L98" s="126"/>
      <c r="M98" s="126"/>
      <c r="N98" s="126"/>
      <c r="O98" s="126"/>
      <c r="P98" s="126"/>
      <c r="Q98" s="126"/>
      <c r="R98" s="126"/>
      <c r="S98" s="126"/>
      <c r="T98" s="126"/>
      <c r="U98" s="127"/>
      <c r="V98" s="126"/>
      <c r="W98" s="126"/>
      <c r="X98" s="126"/>
      <c r="Y98" s="126"/>
      <c r="Z98" s="126"/>
      <c r="AA98" s="115"/>
    </row>
    <row r="99" spans="1:27" hidden="1" x14ac:dyDescent="0.25">
      <c r="A99" s="132"/>
      <c r="B99" s="127"/>
      <c r="C99" s="127"/>
      <c r="D99" s="127"/>
      <c r="E99" s="127"/>
      <c r="F99" s="127"/>
      <c r="G99" s="282"/>
      <c r="H99" s="330"/>
      <c r="I99" s="134"/>
      <c r="J99" s="126"/>
      <c r="K99" s="126"/>
      <c r="L99" s="126"/>
      <c r="M99" s="126"/>
      <c r="N99" s="126"/>
      <c r="O99" s="126"/>
      <c r="P99" s="126"/>
      <c r="Q99" s="126"/>
      <c r="R99" s="126"/>
      <c r="S99" s="126"/>
      <c r="T99" s="126"/>
      <c r="U99" s="127"/>
      <c r="V99" s="126"/>
      <c r="W99" s="126"/>
      <c r="X99" s="126"/>
      <c r="Y99" s="126"/>
      <c r="Z99" s="126"/>
      <c r="AA99" s="115"/>
    </row>
    <row r="100" spans="1:27" ht="6" customHeight="1" x14ac:dyDescent="0.25">
      <c r="A100" s="132"/>
      <c r="B100" s="127"/>
      <c r="C100" s="127"/>
      <c r="D100" s="127"/>
      <c r="E100" s="127"/>
      <c r="F100" s="127"/>
      <c r="G100" s="282"/>
      <c r="H100" s="330"/>
      <c r="I100" s="134"/>
      <c r="J100" s="126"/>
      <c r="K100" s="126"/>
      <c r="L100" s="126"/>
      <c r="M100" s="126"/>
      <c r="N100" s="126"/>
      <c r="O100" s="126"/>
      <c r="P100" s="126"/>
      <c r="Q100" s="126"/>
      <c r="R100" s="126"/>
      <c r="S100" s="126"/>
      <c r="T100" s="126"/>
      <c r="U100" s="127"/>
      <c r="V100" s="126"/>
      <c r="W100" s="126"/>
      <c r="X100" s="126"/>
      <c r="Y100" s="126"/>
      <c r="Z100" s="126"/>
      <c r="AA100" s="115"/>
    </row>
    <row r="101" spans="1:27" ht="15" customHeight="1" x14ac:dyDescent="0.25">
      <c r="A101" s="132"/>
      <c r="B101" s="127"/>
      <c r="C101" s="127"/>
      <c r="D101" s="127"/>
      <c r="E101" s="127"/>
      <c r="F101" s="127"/>
      <c r="G101" s="283" t="s">
        <v>473</v>
      </c>
      <c r="H101" s="333">
        <f>H15</f>
        <v>2</v>
      </c>
      <c r="I101" s="134" t="s">
        <v>687</v>
      </c>
      <c r="J101" s="126"/>
      <c r="K101" s="126"/>
      <c r="L101" s="126"/>
      <c r="M101" s="126"/>
      <c r="N101" s="126"/>
      <c r="O101" s="126"/>
      <c r="P101" s="126"/>
      <c r="Q101" s="126"/>
      <c r="R101" s="126"/>
      <c r="S101" s="126"/>
      <c r="T101" s="126"/>
      <c r="U101" s="127"/>
      <c r="V101" s="126"/>
      <c r="W101" s="126"/>
      <c r="X101" s="126"/>
      <c r="Y101" s="126"/>
      <c r="Z101" s="126"/>
      <c r="AA101" s="115"/>
    </row>
    <row r="102" spans="1:27" hidden="1" x14ac:dyDescent="0.25">
      <c r="A102" s="132"/>
      <c r="B102" s="127"/>
      <c r="C102" s="127"/>
      <c r="D102" s="127"/>
      <c r="E102" s="127"/>
      <c r="F102" s="127"/>
      <c r="G102" s="282"/>
      <c r="H102" s="162"/>
      <c r="I102" s="134"/>
      <c r="J102" s="126"/>
      <c r="K102" s="126"/>
      <c r="L102" s="126"/>
      <c r="M102" s="126"/>
      <c r="N102" s="126"/>
      <c r="O102" s="126"/>
      <c r="P102" s="126"/>
      <c r="Q102" s="126"/>
      <c r="R102" s="126"/>
      <c r="S102" s="126"/>
      <c r="T102" s="126"/>
      <c r="U102" s="127"/>
      <c r="V102" s="126"/>
      <c r="W102" s="126"/>
      <c r="X102" s="126"/>
      <c r="Y102" s="126"/>
      <c r="Z102" s="126"/>
      <c r="AA102" s="115"/>
    </row>
    <row r="103" spans="1:27" x14ac:dyDescent="0.25">
      <c r="A103" s="132"/>
      <c r="B103" s="127"/>
      <c r="C103" s="127"/>
      <c r="D103" s="127"/>
      <c r="E103" s="127"/>
      <c r="F103" s="127"/>
      <c r="G103" s="282"/>
      <c r="H103" s="162"/>
      <c r="I103" s="134"/>
      <c r="J103" s="126"/>
      <c r="K103" s="126"/>
      <c r="L103" s="126"/>
      <c r="M103" s="126"/>
      <c r="N103" s="126"/>
      <c r="O103" s="126"/>
      <c r="P103" s="126"/>
      <c r="Q103" s="126"/>
      <c r="R103" s="126"/>
      <c r="S103" s="126"/>
      <c r="T103" s="126"/>
      <c r="U103" s="127"/>
      <c r="V103" s="126"/>
      <c r="W103" s="126"/>
      <c r="X103" s="126"/>
      <c r="Y103" s="126"/>
      <c r="Z103" s="126"/>
      <c r="AA103" s="115"/>
    </row>
    <row r="104" spans="1:27" x14ac:dyDescent="0.25">
      <c r="A104" s="132"/>
      <c r="B104" s="127"/>
      <c r="C104" s="127"/>
      <c r="D104" s="127"/>
      <c r="E104" s="127"/>
      <c r="F104" s="127"/>
      <c r="G104" s="137" t="s">
        <v>749</v>
      </c>
      <c r="H104" s="183">
        <f>fcross_est/1000</f>
        <v>1.5783961298369791</v>
      </c>
      <c r="I104" s="134" t="s">
        <v>7</v>
      </c>
      <c r="J104" s="126"/>
      <c r="K104" s="126"/>
      <c r="L104" s="126"/>
      <c r="M104" s="126"/>
      <c r="N104" s="126"/>
      <c r="O104" s="126"/>
      <c r="P104" s="126"/>
      <c r="Q104" s="126"/>
      <c r="R104" s="126"/>
      <c r="S104" s="126"/>
      <c r="T104" s="126"/>
      <c r="U104" s="127"/>
      <c r="V104" s="126"/>
      <c r="W104" s="126"/>
      <c r="X104" s="126"/>
      <c r="Y104" s="126"/>
      <c r="Z104" s="126"/>
      <c r="AA104" s="115"/>
    </row>
    <row r="105" spans="1:27" x14ac:dyDescent="0.25">
      <c r="A105" s="132"/>
      <c r="B105" s="127"/>
      <c r="C105" s="127"/>
      <c r="D105" s="127"/>
      <c r="E105" s="127"/>
      <c r="F105" s="127"/>
      <c r="G105" s="137" t="s">
        <v>750</v>
      </c>
      <c r="H105" s="153">
        <v>1.6</v>
      </c>
      <c r="I105" s="134" t="s">
        <v>7</v>
      </c>
      <c r="J105" s="126"/>
      <c r="K105" s="126"/>
      <c r="L105" s="126"/>
      <c r="M105" s="126"/>
      <c r="N105" s="126"/>
      <c r="O105" s="126"/>
      <c r="P105" s="126"/>
      <c r="Q105" s="126"/>
      <c r="R105" s="126"/>
      <c r="S105" s="126"/>
      <c r="T105" s="126"/>
      <c r="U105" s="127"/>
      <c r="V105" s="126"/>
      <c r="W105" s="126"/>
      <c r="X105" s="126"/>
      <c r="Y105" s="126"/>
      <c r="Z105" s="126"/>
      <c r="AA105" s="115"/>
    </row>
    <row r="106" spans="1:27" x14ac:dyDescent="0.25">
      <c r="A106" s="132"/>
      <c r="B106" s="127"/>
      <c r="C106" s="127"/>
      <c r="D106" s="127"/>
      <c r="E106" s="127"/>
      <c r="F106" s="127"/>
      <c r="G106" s="137"/>
      <c r="H106" s="155"/>
      <c r="I106" s="134"/>
      <c r="J106" s="126"/>
      <c r="K106" s="126"/>
      <c r="L106" s="126"/>
      <c r="M106" s="126"/>
      <c r="N106" s="126"/>
      <c r="O106" s="126"/>
      <c r="P106" s="126"/>
      <c r="Q106" s="126"/>
      <c r="R106" s="126"/>
      <c r="S106" s="126"/>
      <c r="T106" s="126"/>
      <c r="U106" s="127"/>
      <c r="V106" s="126"/>
      <c r="W106" s="126"/>
      <c r="X106" s="126"/>
      <c r="Y106" s="126"/>
      <c r="Z106" s="126"/>
      <c r="AA106" s="115"/>
    </row>
    <row r="107" spans="1:27" ht="15.75" thickBot="1" x14ac:dyDescent="0.3">
      <c r="A107" s="132"/>
      <c r="B107" s="127"/>
      <c r="C107" s="127"/>
      <c r="D107" s="127"/>
      <c r="E107" s="127"/>
      <c r="F107" s="149" t="s">
        <v>228</v>
      </c>
      <c r="G107" s="284"/>
      <c r="H107" s="163" t="s">
        <v>229</v>
      </c>
      <c r="I107" s="150"/>
      <c r="J107" s="126"/>
      <c r="K107" s="126"/>
      <c r="L107" s="126"/>
      <c r="M107" s="126"/>
      <c r="N107" s="126"/>
      <c r="O107" s="126"/>
      <c r="P107" s="126"/>
      <c r="Q107" s="126"/>
      <c r="R107" s="126"/>
      <c r="S107" s="126"/>
      <c r="T107" s="126"/>
      <c r="U107" s="127"/>
      <c r="V107" s="126"/>
      <c r="W107" s="126"/>
      <c r="X107" s="126"/>
      <c r="Y107" s="126"/>
      <c r="Z107" s="126"/>
      <c r="AA107" s="115"/>
    </row>
    <row r="108" spans="1:27" ht="18.75" thickBot="1" x14ac:dyDescent="0.4">
      <c r="A108" s="132"/>
      <c r="B108" s="127"/>
      <c r="C108" s="127"/>
      <c r="D108" s="127"/>
      <c r="E108" s="145" t="s">
        <v>227</v>
      </c>
      <c r="F108" s="315">
        <f>RCOMP_Calc/1000</f>
        <v>19.964223071437814</v>
      </c>
      <c r="G108" s="285" t="s">
        <v>145</v>
      </c>
      <c r="H108" s="165">
        <v>20</v>
      </c>
      <c r="I108" s="146" t="s">
        <v>145</v>
      </c>
      <c r="J108" s="126"/>
      <c r="K108" s="126"/>
      <c r="L108" s="126"/>
      <c r="M108" s="126"/>
      <c r="N108" s="126"/>
      <c r="O108" s="126"/>
      <c r="P108" s="126"/>
      <c r="Q108" s="126"/>
      <c r="R108" s="126"/>
      <c r="S108" s="126"/>
      <c r="T108" s="126"/>
      <c r="U108" s="127"/>
      <c r="V108" s="126"/>
      <c r="W108" s="126"/>
      <c r="X108" s="126"/>
      <c r="Y108" s="126"/>
      <c r="Z108" s="126"/>
      <c r="AA108" s="115"/>
    </row>
    <row r="109" spans="1:27" ht="18.75" thickBot="1" x14ac:dyDescent="0.4">
      <c r="A109" s="132"/>
      <c r="B109" s="127"/>
      <c r="C109" s="127"/>
      <c r="D109" s="127"/>
      <c r="E109" s="145" t="s">
        <v>314</v>
      </c>
      <c r="F109" s="208">
        <f>CCOMP_Calc*(10^9)</f>
        <v>43.31648024165036</v>
      </c>
      <c r="G109" s="285" t="s">
        <v>147</v>
      </c>
      <c r="H109" s="165">
        <v>47</v>
      </c>
      <c r="I109" s="134" t="s">
        <v>147</v>
      </c>
      <c r="J109" s="126"/>
      <c r="K109" s="126"/>
      <c r="L109" s="126"/>
      <c r="M109" s="126"/>
      <c r="N109" s="126"/>
      <c r="O109" s="126"/>
      <c r="P109" s="126"/>
      <c r="Q109" s="126"/>
      <c r="R109" s="126"/>
      <c r="S109" s="126"/>
      <c r="T109" s="126"/>
      <c r="U109" s="127"/>
      <c r="V109" s="126"/>
      <c r="W109" s="126"/>
      <c r="X109" s="126"/>
      <c r="Y109" s="126"/>
      <c r="Z109" s="126"/>
      <c r="AA109" s="115"/>
    </row>
    <row r="110" spans="1:27" ht="18.75" thickBot="1" x14ac:dyDescent="0.4">
      <c r="A110" s="143"/>
      <c r="B110" s="138"/>
      <c r="C110" s="138"/>
      <c r="D110" s="138"/>
      <c r="E110" s="147" t="s">
        <v>315</v>
      </c>
      <c r="F110" s="164">
        <f>CHF_calc*(10^12)</f>
        <v>1010.1403192352866</v>
      </c>
      <c r="G110" s="286" t="s">
        <v>146</v>
      </c>
      <c r="H110" s="159">
        <v>1000</v>
      </c>
      <c r="I110" s="139" t="s">
        <v>146</v>
      </c>
      <c r="J110" s="126"/>
      <c r="K110" s="126"/>
      <c r="L110" s="126"/>
      <c r="M110" s="126"/>
      <c r="N110" s="126"/>
      <c r="O110" s="126"/>
      <c r="P110" s="126"/>
      <c r="Q110" s="126"/>
      <c r="R110" s="126"/>
      <c r="S110" s="126"/>
      <c r="T110" s="126"/>
      <c r="U110" s="127"/>
      <c r="V110" s="126"/>
      <c r="W110" s="126"/>
      <c r="X110" s="126"/>
      <c r="Y110" s="126"/>
      <c r="Z110" s="126"/>
      <c r="AA110" s="115"/>
    </row>
    <row r="111" spans="1:27" x14ac:dyDescent="0.25">
      <c r="A111" s="205"/>
      <c r="B111" s="205"/>
      <c r="C111" s="205"/>
      <c r="D111" s="205"/>
      <c r="E111" s="206"/>
      <c r="F111" s="207"/>
      <c r="G111" s="287"/>
      <c r="H111" s="205"/>
      <c r="I111" s="205"/>
      <c r="J111" s="205"/>
      <c r="K111" s="205"/>
      <c r="L111" s="205"/>
      <c r="M111" s="205"/>
      <c r="N111" s="205"/>
      <c r="O111" s="205"/>
      <c r="P111" s="205"/>
      <c r="Q111" s="205"/>
      <c r="R111" s="205"/>
      <c r="S111" s="205"/>
      <c r="T111" s="205"/>
      <c r="U111" s="117"/>
      <c r="V111" s="205"/>
      <c r="W111" s="205"/>
      <c r="X111" s="205"/>
      <c r="Y111" s="205"/>
      <c r="Z111" s="205"/>
      <c r="AA111" s="115"/>
    </row>
    <row r="112" spans="1:27" s="177" customFormat="1" ht="23.25" x14ac:dyDescent="0.35">
      <c r="A112" s="188" t="s">
        <v>226</v>
      </c>
      <c r="B112" s="189"/>
      <c r="C112" s="189"/>
      <c r="D112" s="189"/>
      <c r="E112" s="189"/>
      <c r="F112" s="189"/>
      <c r="G112" s="288"/>
      <c r="H112" s="189"/>
      <c r="I112" s="189"/>
      <c r="J112" s="189"/>
      <c r="K112" s="189"/>
      <c r="L112" s="189"/>
      <c r="M112" s="189"/>
      <c r="N112" s="189"/>
      <c r="O112" s="189"/>
      <c r="P112" s="189"/>
      <c r="Q112" s="189"/>
      <c r="R112" s="189"/>
      <c r="S112" s="189"/>
      <c r="T112" s="189"/>
      <c r="U112" s="189"/>
      <c r="V112" s="189"/>
      <c r="W112" s="189"/>
      <c r="X112" s="190"/>
      <c r="Y112" s="190"/>
      <c r="Z112" s="190"/>
      <c r="AA112" s="212"/>
    </row>
    <row r="113" spans="1:27" s="177" customFormat="1" x14ac:dyDescent="0.25">
      <c r="A113" s="189"/>
      <c r="B113" s="189"/>
      <c r="C113" s="189"/>
      <c r="D113" s="189"/>
      <c r="E113" s="189"/>
      <c r="F113" s="189"/>
      <c r="G113" s="289"/>
      <c r="H113" s="189"/>
      <c r="I113" s="189"/>
      <c r="J113" s="189"/>
      <c r="K113" s="189"/>
      <c r="L113" s="189"/>
      <c r="M113" s="189"/>
      <c r="N113" s="189"/>
      <c r="O113" s="189"/>
      <c r="P113" s="189"/>
      <c r="Q113" s="189"/>
      <c r="R113" s="189"/>
      <c r="S113" s="189"/>
      <c r="T113" s="189"/>
      <c r="U113" s="189"/>
      <c r="V113" s="189"/>
      <c r="W113" s="189"/>
      <c r="X113" s="190"/>
      <c r="Y113" s="190"/>
      <c r="Z113" s="190"/>
      <c r="AA113" s="212"/>
    </row>
    <row r="114" spans="1:27" s="177" customFormat="1" ht="18.75" thickBot="1" x14ac:dyDescent="0.4">
      <c r="A114" s="191" t="s">
        <v>467</v>
      </c>
      <c r="B114" s="189"/>
      <c r="C114" s="189"/>
      <c r="D114" s="189"/>
      <c r="E114" s="189"/>
      <c r="F114" s="189"/>
      <c r="G114" s="289"/>
      <c r="H114" s="189"/>
      <c r="I114" s="189"/>
      <c r="J114" s="189"/>
      <c r="K114" s="189"/>
      <c r="L114" s="189"/>
      <c r="M114" s="189"/>
      <c r="N114" s="189"/>
      <c r="O114" s="189"/>
      <c r="P114" s="189"/>
      <c r="Q114" s="189"/>
      <c r="R114" s="189"/>
      <c r="S114" s="189"/>
      <c r="T114" s="189"/>
      <c r="U114" s="189"/>
      <c r="V114" s="189"/>
      <c r="W114" s="189"/>
      <c r="X114" s="190"/>
      <c r="Y114" s="190"/>
      <c r="Z114" s="190"/>
      <c r="AA114" s="212"/>
    </row>
    <row r="115" spans="1:27" s="177" customFormat="1" ht="15.75" x14ac:dyDescent="0.3">
      <c r="A115" s="214"/>
      <c r="B115" s="215"/>
      <c r="C115" s="215"/>
      <c r="D115" s="215"/>
      <c r="E115" s="215"/>
      <c r="F115" s="215"/>
      <c r="G115" s="216" t="s">
        <v>425</v>
      </c>
      <c r="H115" s="231">
        <v>7</v>
      </c>
      <c r="I115" s="217" t="s">
        <v>268</v>
      </c>
      <c r="J115" s="189"/>
      <c r="K115" s="189"/>
      <c r="L115" s="189"/>
      <c r="M115" s="189"/>
      <c r="N115" s="189"/>
      <c r="O115" s="189"/>
      <c r="P115" s="189"/>
      <c r="Q115" s="189"/>
      <c r="R115" s="189"/>
      <c r="S115" s="189"/>
      <c r="T115" s="189"/>
      <c r="U115" s="189"/>
      <c r="V115" s="189"/>
      <c r="W115" s="189"/>
      <c r="X115" s="190"/>
      <c r="Y115" s="190"/>
      <c r="Z115" s="190"/>
      <c r="AA115" s="212"/>
    </row>
    <row r="116" spans="1:27" s="177" customFormat="1" ht="15.75" x14ac:dyDescent="0.3">
      <c r="A116" s="218"/>
      <c r="B116" s="189"/>
      <c r="C116" s="189"/>
      <c r="D116" s="189"/>
      <c r="E116" s="189"/>
      <c r="F116" s="189"/>
      <c r="G116" s="192" t="s">
        <v>426</v>
      </c>
      <c r="H116" s="232">
        <v>9</v>
      </c>
      <c r="I116" s="219" t="s">
        <v>269</v>
      </c>
      <c r="J116" s="189"/>
      <c r="K116" s="189"/>
      <c r="L116" s="189"/>
      <c r="M116" s="189"/>
      <c r="N116" s="189"/>
      <c r="O116" s="189"/>
      <c r="P116" s="189"/>
      <c r="Q116" s="189"/>
      <c r="R116" s="189"/>
      <c r="S116" s="189"/>
      <c r="T116" s="189"/>
      <c r="U116" s="189"/>
      <c r="V116" s="189"/>
      <c r="W116" s="189"/>
      <c r="X116" s="190"/>
      <c r="Y116" s="190"/>
      <c r="Z116" s="190"/>
      <c r="AA116" s="212"/>
    </row>
    <row r="117" spans="1:27" s="177" customFormat="1" ht="15.75" x14ac:dyDescent="0.3">
      <c r="A117" s="218"/>
      <c r="B117" s="189"/>
      <c r="C117" s="189"/>
      <c r="D117" s="189"/>
      <c r="E117" s="189"/>
      <c r="F117" s="189"/>
      <c r="G117" s="192" t="s">
        <v>427</v>
      </c>
      <c r="H117" s="232">
        <v>2</v>
      </c>
      <c r="I117" s="219" t="s">
        <v>269</v>
      </c>
      <c r="J117" s="189"/>
      <c r="K117" s="189"/>
      <c r="L117" s="189"/>
      <c r="M117" s="189"/>
      <c r="N117" s="189"/>
      <c r="O117" s="189"/>
      <c r="P117" s="189"/>
      <c r="Q117" s="189"/>
      <c r="R117" s="189"/>
      <c r="S117" s="189"/>
      <c r="T117" s="189"/>
      <c r="U117" s="189"/>
      <c r="V117" s="189"/>
      <c r="W117" s="189"/>
      <c r="X117" s="190"/>
      <c r="Y117" s="190"/>
      <c r="Z117" s="190"/>
      <c r="AA117" s="212"/>
    </row>
    <row r="118" spans="1:27" s="177" customFormat="1" ht="15.75" x14ac:dyDescent="0.3">
      <c r="A118" s="220"/>
      <c r="B118" s="189"/>
      <c r="C118" s="189"/>
      <c r="D118" s="189"/>
      <c r="E118" s="189"/>
      <c r="F118" s="189"/>
      <c r="G118" s="192" t="s">
        <v>428</v>
      </c>
      <c r="H118" s="232">
        <v>4.5</v>
      </c>
      <c r="I118" s="219" t="s">
        <v>269</v>
      </c>
      <c r="J118" s="189"/>
      <c r="K118" s="189"/>
      <c r="L118" s="189"/>
      <c r="M118" s="189"/>
      <c r="N118" s="189"/>
      <c r="O118" s="189"/>
      <c r="P118" s="189"/>
      <c r="Q118" s="189"/>
      <c r="R118" s="189"/>
      <c r="S118" s="189"/>
      <c r="T118" s="189"/>
      <c r="U118" s="189"/>
      <c r="V118" s="189"/>
      <c r="W118" s="189"/>
      <c r="X118" s="190"/>
      <c r="Y118" s="190"/>
      <c r="Z118" s="190"/>
      <c r="AA118" s="212"/>
    </row>
    <row r="119" spans="1:27" s="177" customFormat="1" ht="15.75" x14ac:dyDescent="0.3">
      <c r="A119" s="220"/>
      <c r="B119" s="189"/>
      <c r="C119" s="189"/>
      <c r="D119" s="189"/>
      <c r="E119" s="189"/>
      <c r="F119" s="189"/>
      <c r="G119" s="192" t="s">
        <v>429</v>
      </c>
      <c r="H119" s="232">
        <v>10</v>
      </c>
      <c r="I119" s="219" t="s">
        <v>270</v>
      </c>
      <c r="J119" s="189"/>
      <c r="K119" s="189"/>
      <c r="L119" s="189"/>
      <c r="M119" s="189"/>
      <c r="N119" s="189"/>
      <c r="O119" s="189"/>
      <c r="P119" s="189"/>
      <c r="Q119" s="189"/>
      <c r="R119" s="189"/>
      <c r="S119" s="189"/>
      <c r="T119" s="189"/>
      <c r="U119" s="189"/>
      <c r="V119" s="189"/>
      <c r="W119" s="189"/>
      <c r="X119" s="190"/>
      <c r="Y119" s="190"/>
      <c r="Z119" s="190"/>
      <c r="AA119" s="212"/>
    </row>
    <row r="120" spans="1:27" s="177" customFormat="1" ht="16.5" thickBot="1" x14ac:dyDescent="0.35">
      <c r="A120" s="221"/>
      <c r="B120" s="222"/>
      <c r="C120" s="222"/>
      <c r="D120" s="222"/>
      <c r="E120" s="222"/>
      <c r="F120" s="222"/>
      <c r="G120" s="223" t="s">
        <v>430</v>
      </c>
      <c r="H120" s="233">
        <v>1.7</v>
      </c>
      <c r="I120" s="224" t="s">
        <v>5</v>
      </c>
      <c r="J120" s="189"/>
      <c r="K120" s="189"/>
      <c r="L120" s="189"/>
      <c r="M120" s="189"/>
      <c r="N120" s="189"/>
      <c r="O120" s="189"/>
      <c r="P120" s="189"/>
      <c r="Q120" s="189"/>
      <c r="R120" s="189"/>
      <c r="S120" s="189"/>
      <c r="T120" s="189"/>
      <c r="U120" s="189"/>
      <c r="V120" s="189"/>
      <c r="W120" s="189"/>
      <c r="X120" s="190"/>
      <c r="Y120" s="190"/>
      <c r="Z120" s="190"/>
      <c r="AA120" s="212"/>
    </row>
    <row r="121" spans="1:27" s="177" customFormat="1" x14ac:dyDescent="0.25">
      <c r="A121" s="189"/>
      <c r="B121" s="189"/>
      <c r="C121" s="189"/>
      <c r="D121" s="189"/>
      <c r="E121" s="189"/>
      <c r="F121" s="189"/>
      <c r="G121" s="288"/>
      <c r="H121" s="189"/>
      <c r="I121" s="189"/>
      <c r="J121" s="189"/>
      <c r="K121" s="189"/>
      <c r="L121" s="189"/>
      <c r="M121" s="189"/>
      <c r="N121" s="189"/>
      <c r="O121" s="189"/>
      <c r="P121" s="189"/>
      <c r="Q121" s="189"/>
      <c r="R121" s="189"/>
      <c r="S121" s="189"/>
      <c r="T121" s="189"/>
      <c r="U121" s="189"/>
      <c r="V121" s="189"/>
      <c r="W121" s="189"/>
      <c r="X121" s="190"/>
      <c r="Y121" s="190"/>
      <c r="Z121" s="190"/>
      <c r="AA121" s="212"/>
    </row>
    <row r="122" spans="1:27" s="177" customFormat="1" ht="18.75" thickBot="1" x14ac:dyDescent="0.4">
      <c r="A122" s="191" t="s">
        <v>468</v>
      </c>
      <c r="B122" s="189"/>
      <c r="C122" s="189"/>
      <c r="D122" s="189"/>
      <c r="E122" s="189"/>
      <c r="F122" s="189"/>
      <c r="G122" s="288"/>
      <c r="H122" s="189"/>
      <c r="I122" s="189"/>
      <c r="J122" s="189"/>
      <c r="K122" s="189"/>
      <c r="L122" s="189"/>
      <c r="M122" s="189"/>
      <c r="N122" s="189"/>
      <c r="O122" s="189"/>
      <c r="P122" s="189"/>
      <c r="Q122" s="189"/>
      <c r="R122" s="189"/>
      <c r="S122" s="189"/>
      <c r="T122" s="189"/>
      <c r="U122" s="189"/>
      <c r="V122" s="189"/>
      <c r="W122" s="189"/>
      <c r="X122" s="190"/>
      <c r="Y122" s="190"/>
      <c r="Z122" s="190"/>
      <c r="AA122" s="212"/>
    </row>
    <row r="123" spans="1:27" s="177" customFormat="1" ht="15.75" x14ac:dyDescent="0.3">
      <c r="A123" s="214"/>
      <c r="B123" s="215"/>
      <c r="C123" s="215"/>
      <c r="D123" s="215"/>
      <c r="E123" s="215"/>
      <c r="F123" s="215"/>
      <c r="G123" s="216" t="s">
        <v>717</v>
      </c>
      <c r="H123" s="231">
        <v>7</v>
      </c>
      <c r="I123" s="217" t="s">
        <v>268</v>
      </c>
      <c r="J123" s="189"/>
      <c r="K123" s="189"/>
      <c r="L123" s="189"/>
      <c r="M123" s="189"/>
      <c r="N123" s="189"/>
      <c r="O123" s="189"/>
      <c r="P123" s="189"/>
      <c r="Q123" s="189"/>
      <c r="R123" s="189"/>
      <c r="S123" s="189"/>
      <c r="T123" s="189"/>
      <c r="U123" s="189"/>
      <c r="V123" s="189"/>
      <c r="W123" s="189"/>
      <c r="X123" s="190"/>
      <c r="Y123" s="190"/>
      <c r="Z123" s="190"/>
      <c r="AA123" s="212"/>
    </row>
    <row r="124" spans="1:27" s="177" customFormat="1" ht="15.75" x14ac:dyDescent="0.3">
      <c r="A124" s="220"/>
      <c r="B124" s="189"/>
      <c r="C124" s="189"/>
      <c r="D124" s="189"/>
      <c r="E124" s="189"/>
      <c r="F124" s="189"/>
      <c r="G124" s="192" t="s">
        <v>718</v>
      </c>
      <c r="H124" s="232">
        <v>9</v>
      </c>
      <c r="I124" s="219" t="s">
        <v>269</v>
      </c>
      <c r="J124" s="189"/>
      <c r="K124" s="189"/>
      <c r="L124" s="189"/>
      <c r="M124" s="189"/>
      <c r="N124" s="189"/>
      <c r="O124" s="189"/>
      <c r="P124" s="189"/>
      <c r="Q124" s="189"/>
      <c r="R124" s="189"/>
      <c r="S124" s="189"/>
      <c r="T124" s="189"/>
      <c r="U124" s="189"/>
      <c r="V124" s="189"/>
      <c r="W124" s="189"/>
      <c r="X124" s="190"/>
      <c r="Y124" s="190"/>
      <c r="Z124" s="190"/>
      <c r="AA124" s="212"/>
    </row>
    <row r="125" spans="1:27" s="177" customFormat="1" ht="15.75" x14ac:dyDescent="0.3">
      <c r="A125" s="220"/>
      <c r="B125" s="189"/>
      <c r="C125" s="189"/>
      <c r="D125" s="189"/>
      <c r="E125" s="189"/>
      <c r="F125" s="189"/>
      <c r="G125" s="192" t="s">
        <v>719</v>
      </c>
      <c r="H125" s="232">
        <v>2</v>
      </c>
      <c r="I125" s="219" t="s">
        <v>269</v>
      </c>
      <c r="J125" s="189"/>
      <c r="K125" s="189"/>
      <c r="L125" s="189"/>
      <c r="M125" s="189"/>
      <c r="N125" s="189"/>
      <c r="O125" s="189"/>
      <c r="P125" s="189"/>
      <c r="Q125" s="189"/>
      <c r="R125" s="189"/>
      <c r="S125" s="189"/>
      <c r="T125" s="189"/>
      <c r="U125" s="189"/>
      <c r="V125" s="189"/>
      <c r="W125" s="189"/>
      <c r="X125" s="190"/>
      <c r="Y125" s="190"/>
      <c r="Z125" s="190"/>
      <c r="AA125" s="212"/>
    </row>
    <row r="126" spans="1:27" s="177" customFormat="1" ht="15.75" x14ac:dyDescent="0.3">
      <c r="A126" s="220"/>
      <c r="B126" s="189"/>
      <c r="C126" s="189"/>
      <c r="D126" s="189"/>
      <c r="E126" s="189"/>
      <c r="F126" s="189"/>
      <c r="G126" s="192" t="s">
        <v>720</v>
      </c>
      <c r="H126" s="232">
        <v>4.5</v>
      </c>
      <c r="I126" s="219" t="s">
        <v>269</v>
      </c>
      <c r="J126" s="189"/>
      <c r="K126" s="189"/>
      <c r="L126" s="189"/>
      <c r="M126" s="189"/>
      <c r="N126" s="189"/>
      <c r="O126" s="189"/>
      <c r="P126" s="189"/>
      <c r="Q126" s="189"/>
      <c r="R126" s="189"/>
      <c r="S126" s="189"/>
      <c r="T126" s="189"/>
      <c r="U126" s="189"/>
      <c r="V126" s="189"/>
      <c r="W126" s="189"/>
      <c r="X126" s="190"/>
      <c r="Y126" s="190"/>
      <c r="Z126" s="190"/>
      <c r="AA126" s="212"/>
    </row>
    <row r="127" spans="1:27" s="177" customFormat="1" ht="15.75" x14ac:dyDescent="0.3">
      <c r="A127" s="220"/>
      <c r="B127" s="189"/>
      <c r="C127" s="189"/>
      <c r="D127" s="189"/>
      <c r="E127" s="189"/>
      <c r="F127" s="189"/>
      <c r="G127" s="192" t="s">
        <v>721</v>
      </c>
      <c r="H127" s="232">
        <v>2</v>
      </c>
      <c r="I127" s="219" t="s">
        <v>270</v>
      </c>
      <c r="J127" s="189"/>
      <c r="K127" s="189"/>
      <c r="L127" s="189"/>
      <c r="M127" s="189"/>
      <c r="N127" s="189"/>
      <c r="O127" s="189"/>
      <c r="P127" s="189"/>
      <c r="Q127" s="189"/>
      <c r="R127" s="189"/>
      <c r="S127" s="189"/>
      <c r="T127" s="189"/>
      <c r="U127" s="189"/>
      <c r="V127" s="189"/>
      <c r="W127" s="189"/>
      <c r="X127" s="190"/>
      <c r="Y127" s="190"/>
      <c r="Z127" s="190"/>
      <c r="AA127" s="212"/>
    </row>
    <row r="128" spans="1:27" s="177" customFormat="1" ht="15.75" x14ac:dyDescent="0.3">
      <c r="A128" s="220"/>
      <c r="B128" s="189"/>
      <c r="C128" s="189"/>
      <c r="D128" s="189"/>
      <c r="E128" s="189"/>
      <c r="F128" s="189"/>
      <c r="G128" s="192" t="s">
        <v>722</v>
      </c>
      <c r="H128" s="232">
        <v>1.7</v>
      </c>
      <c r="I128" s="219" t="s">
        <v>5</v>
      </c>
      <c r="J128" s="189"/>
      <c r="K128" s="189"/>
      <c r="L128" s="189"/>
      <c r="M128" s="189"/>
      <c r="N128" s="189"/>
      <c r="O128" s="189"/>
      <c r="P128" s="189"/>
      <c r="Q128" s="189"/>
      <c r="R128" s="189"/>
      <c r="S128" s="189"/>
      <c r="T128" s="189"/>
      <c r="U128" s="189"/>
      <c r="V128" s="189"/>
      <c r="W128" s="189"/>
      <c r="X128" s="190"/>
      <c r="Y128" s="190"/>
      <c r="Z128" s="190"/>
      <c r="AA128" s="212"/>
    </row>
    <row r="129" spans="1:27" s="177" customFormat="1" ht="15.75" x14ac:dyDescent="0.3">
      <c r="A129" s="220"/>
      <c r="B129" s="189"/>
      <c r="C129" s="189"/>
      <c r="D129" s="189"/>
      <c r="E129" s="189"/>
      <c r="F129" s="189"/>
      <c r="G129" s="300" t="s">
        <v>723</v>
      </c>
      <c r="H129" s="232">
        <v>19</v>
      </c>
      <c r="I129" s="225" t="s">
        <v>269</v>
      </c>
      <c r="J129" s="189"/>
      <c r="K129" s="189"/>
      <c r="L129" s="189"/>
      <c r="M129" s="189"/>
      <c r="N129" s="189"/>
      <c r="O129" s="189"/>
      <c r="P129" s="189"/>
      <c r="Q129" s="189"/>
      <c r="R129" s="189"/>
      <c r="S129" s="189"/>
      <c r="T129" s="189"/>
      <c r="U129" s="189"/>
      <c r="V129" s="189"/>
      <c r="W129" s="189"/>
      <c r="X129" s="190"/>
      <c r="Y129" s="190"/>
      <c r="Z129" s="190"/>
      <c r="AA129" s="212"/>
    </row>
    <row r="130" spans="1:27" s="177" customFormat="1" ht="16.5" thickBot="1" x14ac:dyDescent="0.35">
      <c r="A130" s="221"/>
      <c r="B130" s="222"/>
      <c r="C130" s="222"/>
      <c r="D130" s="222"/>
      <c r="E130" s="222"/>
      <c r="F130" s="222"/>
      <c r="G130" s="301" t="s">
        <v>724</v>
      </c>
      <c r="H130" s="233">
        <v>0.85</v>
      </c>
      <c r="I130" s="226" t="s">
        <v>5</v>
      </c>
      <c r="J130" s="189"/>
      <c r="K130" s="189"/>
      <c r="L130" s="189"/>
      <c r="M130" s="189"/>
      <c r="N130" s="189"/>
      <c r="O130" s="189"/>
      <c r="P130" s="189"/>
      <c r="Q130" s="189"/>
      <c r="R130" s="189"/>
      <c r="S130" s="189"/>
      <c r="T130" s="189"/>
      <c r="U130" s="189"/>
      <c r="V130" s="189"/>
      <c r="W130" s="189"/>
      <c r="X130" s="190"/>
      <c r="Y130" s="190"/>
      <c r="Z130" s="190"/>
      <c r="AA130" s="212"/>
    </row>
    <row r="131" spans="1:27" s="176" customFormat="1" x14ac:dyDescent="0.25">
      <c r="A131" s="193"/>
      <c r="B131" s="193"/>
      <c r="C131" s="193"/>
      <c r="D131" s="193"/>
      <c r="E131" s="193"/>
      <c r="F131" s="193"/>
      <c r="G131" s="290"/>
      <c r="H131" s="193"/>
      <c r="I131" s="193"/>
      <c r="J131" s="193"/>
      <c r="K131" s="193"/>
      <c r="L131" s="193"/>
      <c r="M131" s="193"/>
      <c r="N131" s="193"/>
      <c r="O131" s="193"/>
      <c r="P131" s="193"/>
      <c r="Q131" s="193"/>
      <c r="R131" s="193"/>
      <c r="S131" s="193"/>
      <c r="T131" s="193"/>
      <c r="U131" s="189"/>
      <c r="V131" s="193"/>
      <c r="W131" s="193"/>
      <c r="X131" s="194"/>
      <c r="Y131" s="194"/>
      <c r="Z131" s="194"/>
      <c r="AA131" s="213"/>
    </row>
    <row r="132" spans="1:27" s="176" customFormat="1" x14ac:dyDescent="0.25">
      <c r="A132" s="193"/>
      <c r="B132" s="193"/>
      <c r="C132" s="193"/>
      <c r="D132" s="193"/>
      <c r="E132" s="193"/>
      <c r="F132" s="193"/>
      <c r="G132" s="290"/>
      <c r="H132" s="193"/>
      <c r="I132" s="193"/>
      <c r="J132" s="193"/>
      <c r="K132" s="193"/>
      <c r="L132" s="193"/>
      <c r="M132" s="193"/>
      <c r="N132" s="193"/>
      <c r="O132" s="193"/>
      <c r="P132" s="193"/>
      <c r="Q132" s="193"/>
      <c r="R132" s="193"/>
      <c r="S132" s="193"/>
      <c r="T132" s="193"/>
      <c r="U132" s="189"/>
      <c r="V132" s="193"/>
      <c r="W132" s="193"/>
      <c r="X132" s="194"/>
      <c r="Y132" s="194"/>
      <c r="Z132" s="194"/>
      <c r="AA132" s="213"/>
    </row>
    <row r="133" spans="1:27" s="176" customFormat="1" x14ac:dyDescent="0.25">
      <c r="A133" s="193"/>
      <c r="B133" s="193"/>
      <c r="C133" s="193"/>
      <c r="D133" s="193"/>
      <c r="E133" s="193"/>
      <c r="F133" s="193"/>
      <c r="G133" s="290"/>
      <c r="H133" s="193"/>
      <c r="I133" s="193"/>
      <c r="J133" s="193"/>
      <c r="K133" s="193"/>
      <c r="L133" s="193"/>
      <c r="M133" s="193"/>
      <c r="N133" s="193"/>
      <c r="O133" s="193"/>
      <c r="P133" s="193"/>
      <c r="Q133" s="193"/>
      <c r="R133" s="193"/>
      <c r="S133" s="193"/>
      <c r="T133" s="193"/>
      <c r="U133" s="189"/>
      <c r="V133" s="193"/>
      <c r="W133" s="193"/>
      <c r="X133" s="194"/>
      <c r="Y133" s="194"/>
      <c r="Z133" s="194"/>
      <c r="AA133" s="213"/>
    </row>
    <row r="134" spans="1:27" s="176" customFormat="1" x14ac:dyDescent="0.25">
      <c r="A134" s="193"/>
      <c r="B134" s="193"/>
      <c r="C134" s="193"/>
      <c r="D134" s="193"/>
      <c r="E134" s="193"/>
      <c r="F134" s="193"/>
      <c r="G134" s="290"/>
      <c r="H134" s="193"/>
      <c r="I134" s="193"/>
      <c r="J134" s="193"/>
      <c r="K134" s="193"/>
      <c r="L134" s="193"/>
      <c r="M134" s="193"/>
      <c r="N134" s="193"/>
      <c r="O134" s="193"/>
      <c r="P134" s="193"/>
      <c r="Q134" s="193"/>
      <c r="R134" s="193"/>
      <c r="S134" s="193"/>
      <c r="T134" s="193"/>
      <c r="U134" s="189"/>
      <c r="V134" s="193"/>
      <c r="W134" s="193"/>
      <c r="X134" s="194"/>
      <c r="Y134" s="194"/>
      <c r="Z134" s="194"/>
      <c r="AA134" s="213"/>
    </row>
    <row r="135" spans="1:27" s="176" customFormat="1" x14ac:dyDescent="0.25">
      <c r="A135" s="193"/>
      <c r="B135" s="193"/>
      <c r="C135" s="193"/>
      <c r="D135" s="193"/>
      <c r="E135" s="193"/>
      <c r="F135" s="193"/>
      <c r="G135" s="290"/>
      <c r="H135" s="193"/>
      <c r="I135" s="193"/>
      <c r="J135" s="193"/>
      <c r="K135" s="193"/>
      <c r="L135" s="193"/>
      <c r="M135" s="193"/>
      <c r="N135" s="193"/>
      <c r="O135" s="193"/>
      <c r="P135" s="193"/>
      <c r="Q135" s="193"/>
      <c r="R135" s="193"/>
      <c r="S135" s="193"/>
      <c r="T135" s="193"/>
      <c r="U135" s="189"/>
      <c r="V135" s="193"/>
      <c r="W135" s="193"/>
      <c r="X135" s="194"/>
      <c r="Y135" s="194"/>
      <c r="Z135" s="194"/>
      <c r="AA135" s="213"/>
    </row>
    <row r="136" spans="1:27" s="176" customFormat="1" x14ac:dyDescent="0.25">
      <c r="A136" s="194"/>
      <c r="B136" s="194"/>
      <c r="C136" s="194"/>
      <c r="D136" s="194"/>
      <c r="E136" s="194"/>
      <c r="F136" s="194"/>
      <c r="G136" s="280"/>
      <c r="H136" s="194"/>
      <c r="I136" s="194"/>
      <c r="J136" s="194"/>
      <c r="K136" s="194"/>
      <c r="L136" s="194"/>
      <c r="M136" s="194"/>
      <c r="N136" s="194"/>
      <c r="O136" s="194"/>
      <c r="P136" s="194"/>
      <c r="Q136" s="194"/>
      <c r="R136" s="194"/>
      <c r="S136" s="194"/>
      <c r="T136" s="194"/>
      <c r="U136" s="195"/>
      <c r="V136" s="194"/>
      <c r="W136" s="194"/>
      <c r="X136" s="194"/>
      <c r="Y136" s="194"/>
      <c r="Z136" s="194"/>
      <c r="AA136" s="213"/>
    </row>
    <row r="137" spans="1:27" s="176" customFormat="1" x14ac:dyDescent="0.25">
      <c r="A137" s="194"/>
      <c r="B137" s="194"/>
      <c r="C137" s="194"/>
      <c r="D137" s="194"/>
      <c r="E137" s="194"/>
      <c r="F137" s="194"/>
      <c r="G137" s="280"/>
      <c r="H137" s="194"/>
      <c r="I137" s="194"/>
      <c r="J137" s="194"/>
      <c r="K137" s="194"/>
      <c r="L137" s="194"/>
      <c r="M137" s="194"/>
      <c r="N137" s="194"/>
      <c r="O137" s="194"/>
      <c r="P137" s="194"/>
      <c r="Q137" s="194"/>
      <c r="R137" s="194"/>
      <c r="S137" s="194"/>
      <c r="T137" s="194"/>
      <c r="U137" s="195"/>
      <c r="V137" s="194"/>
      <c r="W137" s="194"/>
      <c r="X137" s="194"/>
      <c r="Y137" s="194"/>
      <c r="Z137" s="194"/>
      <c r="AA137" s="213"/>
    </row>
    <row r="138" spans="1:27" x14ac:dyDescent="0.25">
      <c r="A138" s="205"/>
      <c r="B138" s="205"/>
      <c r="C138" s="205"/>
      <c r="D138" s="205"/>
      <c r="E138" s="205"/>
      <c r="F138" s="205"/>
      <c r="G138" s="287"/>
      <c r="H138" s="205"/>
      <c r="I138" s="205"/>
      <c r="J138" s="205"/>
      <c r="K138" s="205"/>
      <c r="L138" s="205"/>
      <c r="M138" s="205"/>
      <c r="N138" s="205"/>
      <c r="O138" s="205"/>
      <c r="P138" s="205"/>
      <c r="Q138" s="205"/>
      <c r="R138" s="205"/>
      <c r="S138" s="205"/>
      <c r="T138" s="205"/>
      <c r="U138" s="117"/>
      <c r="V138" s="205"/>
      <c r="W138" s="205"/>
      <c r="X138" s="205"/>
      <c r="Y138" s="205"/>
      <c r="Z138" s="205"/>
      <c r="AA138" s="115"/>
    </row>
  </sheetData>
  <sheetProtection algorithmName="SHA-512" hashValue="CI69iPg/ey+vkNcmGUGwUKrNGK9zbT0ZyZ4XsufeUQ8TtUN8Wxre0Pwo9iodxbLWbiArmpJBiG8RIciXTD4XTg==" saltValue="knuxrRQpaZMr0NwzKOTYIw==" spinCount="100000" sheet="1" objects="1" scenarios="1" selectLockedCells="1"/>
  <mergeCells count="7">
    <mergeCell ref="B75:C75"/>
    <mergeCell ref="E75:F75"/>
    <mergeCell ref="G67:H67"/>
    <mergeCell ref="A67:C67"/>
    <mergeCell ref="D67:F67"/>
    <mergeCell ref="G72:H72"/>
    <mergeCell ref="G73:H73"/>
  </mergeCells>
  <conditionalFormatting sqref="H50">
    <cfRule type="cellIs" dxfId="13" priority="15" operator="greaterThan">
      <formula>2.999</formula>
    </cfRule>
  </conditionalFormatting>
  <conditionalFormatting sqref="H8">
    <cfRule type="cellIs" dxfId="12" priority="9" operator="lessThan">
      <formula>$H$7</formula>
    </cfRule>
    <cfRule type="cellIs" dxfId="11" priority="10" operator="greaterThan">
      <formula>$H$9</formula>
    </cfRule>
  </conditionalFormatting>
  <conditionalFormatting sqref="H52">
    <cfRule type="cellIs" dxfId="10" priority="5" operator="lessThan">
      <formula>$H$51</formula>
    </cfRule>
    <cfRule type="cellIs" dxfId="9" priority="6" operator="greaterThan">
      <formula>$H$30*Np</formula>
    </cfRule>
  </conditionalFormatting>
  <conditionalFormatting sqref="H47">
    <cfRule type="cellIs" dxfId="8" priority="4" operator="greaterThan">
      <formula>Np*$H$30</formula>
    </cfRule>
  </conditionalFormatting>
  <conditionalFormatting sqref="H51">
    <cfRule type="cellIs" dxfId="7" priority="2" operator="lessThan">
      <formula>0</formula>
    </cfRule>
    <cfRule type="cellIs" dxfId="6" priority="3" operator="greaterThan">
      <formula>$H$30*Np</formula>
    </cfRule>
  </conditionalFormatting>
  <dataValidations count="1">
    <dataValidation type="whole" allowBlank="1" showInputMessage="1" showErrorMessage="1" error="Fill in an integer between 1 and 8." sqref="H15" xr:uid="{C222998B-D293-47FA-B514-C63573CE920C}">
      <formula1>1</formula1>
      <formula2>8</formula2>
    </dataValidation>
  </dataValidations>
  <hyperlinks>
    <hyperlink ref="O3" location="Licenses!A1" display="TERMS OF USE" xr:uid="{9DB2D881-97D5-4720-9D4E-508B57391166}"/>
  </hyperlinks>
  <pageMargins left="0.2" right="0.2" top="0.25" bottom="0.25" header="0" footer="0"/>
  <pageSetup paperSize="9" scale="44" orientation="portrait" r:id="rId1"/>
  <drawing r:id="rId2"/>
  <legacyDrawing r:id="rId3"/>
  <oleObjects>
    <mc:AlternateContent xmlns:mc="http://schemas.openxmlformats.org/markup-compatibility/2006">
      <mc:Choice Requires="x14">
        <oleObject progId="Visio.Drawing.15" shapeId="1094" r:id="rId4">
          <objectPr defaultSize="0" autoPict="0" r:id="rId5">
            <anchor moveWithCells="1">
              <from>
                <xdr:col>10</xdr:col>
                <xdr:colOff>342900</xdr:colOff>
                <xdr:row>4</xdr:row>
                <xdr:rowOff>171450</xdr:rowOff>
              </from>
              <to>
                <xdr:col>25</xdr:col>
                <xdr:colOff>219075</xdr:colOff>
                <xdr:row>36</xdr:row>
                <xdr:rowOff>66675</xdr:rowOff>
              </to>
            </anchor>
          </objectPr>
        </oleObject>
      </mc:Choice>
      <mc:Fallback>
        <oleObject progId="Visio.Drawing.15" shapeId="1094" r:id="rId4"/>
      </mc:Fallback>
    </mc:AlternateContent>
    <mc:AlternateContent xmlns:mc="http://schemas.openxmlformats.org/markup-compatibility/2006">
      <mc:Choice Requires="x14">
        <oleObject progId="Visio.Drawing.15" shapeId="1112" r:id="rId6">
          <objectPr defaultSize="0" autoPict="0" r:id="rId7">
            <anchor moveWithCells="1">
              <from>
                <xdr:col>10</xdr:col>
                <xdr:colOff>238125</xdr:colOff>
                <xdr:row>45</xdr:row>
                <xdr:rowOff>95250</xdr:rowOff>
              </from>
              <to>
                <xdr:col>18</xdr:col>
                <xdr:colOff>19050</xdr:colOff>
                <xdr:row>58</xdr:row>
                <xdr:rowOff>95250</xdr:rowOff>
              </to>
            </anchor>
          </objectPr>
        </oleObject>
      </mc:Choice>
      <mc:Fallback>
        <oleObject progId="Visio.Drawing.15" shapeId="1112" r:id="rId6"/>
      </mc:Fallback>
    </mc:AlternateContent>
  </oleObjects>
  <mc:AlternateContent xmlns:mc="http://schemas.openxmlformats.org/markup-compatibility/2006">
    <mc:Choice Requires="x14">
      <controls>
        <mc:AlternateContent xmlns:mc="http://schemas.openxmlformats.org/markup-compatibility/2006">
          <mc:Choice Requires="x14">
            <control shapeId="1095" r:id="rId8" name="Drop Down 71">
              <controlPr defaultSize="0" autoLine="0" autoPict="0">
                <anchor moveWithCells="1">
                  <from>
                    <xdr:col>16</xdr:col>
                    <xdr:colOff>200025</xdr:colOff>
                    <xdr:row>14</xdr:row>
                    <xdr:rowOff>38100</xdr:rowOff>
                  </from>
                  <to>
                    <xdr:col>18</xdr:col>
                    <xdr:colOff>219075</xdr:colOff>
                    <xdr:row>16</xdr:row>
                    <xdr:rowOff>114300</xdr:rowOff>
                  </to>
                </anchor>
              </controlPr>
            </control>
          </mc:Choice>
        </mc:AlternateContent>
        <mc:AlternateContent xmlns:mc="http://schemas.openxmlformats.org/markup-compatibility/2006">
          <mc:Choice Requires="x14">
            <control shapeId="1060" r:id="rId9" name="Spinner 36">
              <controlPr defaultSize="0" autoPict="0">
                <anchor moveWithCells="1" sizeWithCells="1">
                  <from>
                    <xdr:col>7</xdr:col>
                    <xdr:colOff>561975</xdr:colOff>
                    <xdr:row>92</xdr:row>
                    <xdr:rowOff>0</xdr:rowOff>
                  </from>
                  <to>
                    <xdr:col>7</xdr:col>
                    <xdr:colOff>781050</xdr:colOff>
                    <xdr:row>92</xdr:row>
                    <xdr:rowOff>228600</xdr:rowOff>
                  </to>
                </anchor>
              </controlPr>
            </control>
          </mc:Choice>
        </mc:AlternateContent>
        <mc:AlternateContent xmlns:mc="http://schemas.openxmlformats.org/markup-compatibility/2006">
          <mc:Choice Requires="x14">
            <control shapeId="1079" r:id="rId10" name="Spinner 55">
              <controlPr defaultSize="0" autoPict="0">
                <anchor moveWithCells="1" sizeWithCells="1">
                  <from>
                    <xdr:col>7</xdr:col>
                    <xdr:colOff>561975</xdr:colOff>
                    <xdr:row>94</xdr:row>
                    <xdr:rowOff>0</xdr:rowOff>
                  </from>
                  <to>
                    <xdr:col>7</xdr:col>
                    <xdr:colOff>781050</xdr:colOff>
                    <xdr:row>96</xdr:row>
                    <xdr:rowOff>0</xdr:rowOff>
                  </to>
                </anchor>
              </controlPr>
            </control>
          </mc:Choice>
        </mc:AlternateContent>
        <mc:AlternateContent xmlns:mc="http://schemas.openxmlformats.org/markup-compatibility/2006">
          <mc:Choice Requires="x14">
            <control shapeId="1080" r:id="rId11" name="Spinner 56">
              <controlPr defaultSize="0" autoPict="0">
                <anchor moveWithCells="1" sizeWithCells="1">
                  <from>
                    <xdr:col>7</xdr:col>
                    <xdr:colOff>561975</xdr:colOff>
                    <xdr:row>97</xdr:row>
                    <xdr:rowOff>0</xdr:rowOff>
                  </from>
                  <to>
                    <xdr:col>7</xdr:col>
                    <xdr:colOff>781050</xdr:colOff>
                    <xdr:row>97</xdr:row>
                    <xdr:rowOff>219075</xdr:rowOff>
                  </to>
                </anchor>
              </controlPr>
            </control>
          </mc:Choice>
        </mc:AlternateContent>
        <mc:AlternateContent xmlns:mc="http://schemas.openxmlformats.org/markup-compatibility/2006">
          <mc:Choice Requires="x14">
            <control shapeId="1082" r:id="rId12" name="Spinner 58">
              <controlPr defaultSize="0" autoPict="0">
                <anchor moveWithCells="1" sizeWithCells="1">
                  <from>
                    <xdr:col>7</xdr:col>
                    <xdr:colOff>561975</xdr:colOff>
                    <xdr:row>100</xdr:row>
                    <xdr:rowOff>9525</xdr:rowOff>
                  </from>
                  <to>
                    <xdr:col>7</xdr:col>
                    <xdr:colOff>781050</xdr:colOff>
                    <xdr:row>102</xdr:row>
                    <xdr:rowOff>0</xdr:rowOff>
                  </to>
                </anchor>
              </controlPr>
            </control>
          </mc:Choice>
        </mc:AlternateContent>
        <mc:AlternateContent xmlns:mc="http://schemas.openxmlformats.org/markup-compatibility/2006">
          <mc:Choice Requires="x14">
            <control shapeId="1100" r:id="rId13" name="Spinner 76">
              <controlPr defaultSize="0" autoPict="0">
                <anchor moveWithCells="1">
                  <from>
                    <xdr:col>7</xdr:col>
                    <xdr:colOff>542925</xdr:colOff>
                    <xdr:row>14</xdr:row>
                    <xdr:rowOff>0</xdr:rowOff>
                  </from>
                  <to>
                    <xdr:col>7</xdr:col>
                    <xdr:colOff>781050</xdr:colOff>
                    <xdr:row>14</xdr:row>
                    <xdr:rowOff>180975</xdr:rowOff>
                  </to>
                </anchor>
              </controlPr>
            </control>
          </mc:Choice>
        </mc:AlternateContent>
        <mc:AlternateContent xmlns:mc="http://schemas.openxmlformats.org/markup-compatibility/2006">
          <mc:Choice Requires="x14">
            <control shapeId="1132" r:id="rId14" name="Drop Down 108">
              <controlPr defaultSize="0" autoLine="0" autoPict="0">
                <anchor moveWithCells="1">
                  <from>
                    <xdr:col>0</xdr:col>
                    <xdr:colOff>57150</xdr:colOff>
                    <xdr:row>68</xdr:row>
                    <xdr:rowOff>57150</xdr:rowOff>
                  </from>
                  <to>
                    <xdr:col>2</xdr:col>
                    <xdr:colOff>523875</xdr:colOff>
                    <xdr:row>69</xdr:row>
                    <xdr:rowOff>66675</xdr:rowOff>
                  </to>
                </anchor>
              </controlPr>
            </control>
          </mc:Choice>
        </mc:AlternateContent>
        <mc:AlternateContent xmlns:mc="http://schemas.openxmlformats.org/markup-compatibility/2006">
          <mc:Choice Requires="x14">
            <control shapeId="1133" r:id="rId15" name="Drop Down 109">
              <controlPr defaultSize="0" autoLine="0" autoPict="0">
                <anchor moveWithCells="1">
                  <from>
                    <xdr:col>0</xdr:col>
                    <xdr:colOff>57150</xdr:colOff>
                    <xdr:row>67</xdr:row>
                    <xdr:rowOff>9525</xdr:rowOff>
                  </from>
                  <to>
                    <xdr:col>2</xdr:col>
                    <xdr:colOff>523875</xdr:colOff>
                    <xdr:row>68</xdr:row>
                    <xdr:rowOff>19050</xdr:rowOff>
                  </to>
                </anchor>
              </controlPr>
            </control>
          </mc:Choice>
        </mc:AlternateContent>
        <mc:AlternateContent xmlns:mc="http://schemas.openxmlformats.org/markup-compatibility/2006">
          <mc:Choice Requires="x14">
            <control shapeId="1138" r:id="rId16" name="Drop Down 114">
              <controlPr defaultSize="0" autoLine="0" autoPict="0">
                <anchor moveWithCells="1">
                  <from>
                    <xdr:col>3</xdr:col>
                    <xdr:colOff>57150</xdr:colOff>
                    <xdr:row>67</xdr:row>
                    <xdr:rowOff>9525</xdr:rowOff>
                  </from>
                  <to>
                    <xdr:col>7</xdr:col>
                    <xdr:colOff>1114425</xdr:colOff>
                    <xdr:row>68</xdr:row>
                    <xdr:rowOff>19050</xdr:rowOff>
                  </to>
                </anchor>
              </controlPr>
            </control>
          </mc:Choice>
        </mc:AlternateContent>
        <mc:AlternateContent xmlns:mc="http://schemas.openxmlformats.org/markup-compatibility/2006">
          <mc:Choice Requires="x14">
            <control shapeId="1139" r:id="rId17" name="Drop Down 115">
              <controlPr defaultSize="0" autoLine="0" autoPict="0">
                <anchor moveWithCells="1">
                  <from>
                    <xdr:col>3</xdr:col>
                    <xdr:colOff>57150</xdr:colOff>
                    <xdr:row>68</xdr:row>
                    <xdr:rowOff>57150</xdr:rowOff>
                  </from>
                  <to>
                    <xdr:col>5</xdr:col>
                    <xdr:colOff>542925</xdr:colOff>
                    <xdr:row>69</xdr:row>
                    <xdr:rowOff>66675</xdr:rowOff>
                  </to>
                </anchor>
              </controlPr>
            </control>
          </mc:Choice>
        </mc:AlternateContent>
        <mc:AlternateContent xmlns:mc="http://schemas.openxmlformats.org/markup-compatibility/2006">
          <mc:Choice Requires="x14">
            <control shapeId="1140" r:id="rId18" name="Drop Down 116">
              <controlPr defaultSize="0" autoLine="0" autoPict="0">
                <anchor moveWithCells="1">
                  <from>
                    <xdr:col>3</xdr:col>
                    <xdr:colOff>57150</xdr:colOff>
                    <xdr:row>69</xdr:row>
                    <xdr:rowOff>104775</xdr:rowOff>
                  </from>
                  <to>
                    <xdr:col>5</xdr:col>
                    <xdr:colOff>542925</xdr:colOff>
                    <xdr:row>70</xdr:row>
                    <xdr:rowOff>114300</xdr:rowOff>
                  </to>
                </anchor>
              </controlPr>
            </control>
          </mc:Choice>
        </mc:AlternateContent>
        <mc:AlternateContent xmlns:mc="http://schemas.openxmlformats.org/markup-compatibility/2006">
          <mc:Choice Requires="x14">
            <control shapeId="1141" r:id="rId19" name="Drop Down 117">
              <controlPr defaultSize="0" autoLine="0" autoPict="0">
                <anchor moveWithCells="1">
                  <from>
                    <xdr:col>3</xdr:col>
                    <xdr:colOff>57150</xdr:colOff>
                    <xdr:row>70</xdr:row>
                    <xdr:rowOff>152400</xdr:rowOff>
                  </from>
                  <to>
                    <xdr:col>5</xdr:col>
                    <xdr:colOff>542925</xdr:colOff>
                    <xdr:row>71</xdr:row>
                    <xdr:rowOff>161925</xdr:rowOff>
                  </to>
                </anchor>
              </controlPr>
            </control>
          </mc:Choice>
        </mc:AlternateContent>
        <mc:AlternateContent xmlns:mc="http://schemas.openxmlformats.org/markup-compatibility/2006">
          <mc:Choice Requires="x14">
            <control shapeId="1144" r:id="rId20" name="Drop Down 120">
              <controlPr defaultSize="0" autoLine="0" autoPict="0">
                <anchor moveWithCells="1">
                  <from>
                    <xdr:col>6</xdr:col>
                    <xdr:colOff>38100</xdr:colOff>
                    <xdr:row>68</xdr:row>
                    <xdr:rowOff>57150</xdr:rowOff>
                  </from>
                  <to>
                    <xdr:col>7</xdr:col>
                    <xdr:colOff>1114425</xdr:colOff>
                    <xdr:row>69</xdr:row>
                    <xdr:rowOff>66675</xdr:rowOff>
                  </to>
                </anchor>
              </controlPr>
            </control>
          </mc:Choice>
        </mc:AlternateContent>
        <mc:AlternateContent xmlns:mc="http://schemas.openxmlformats.org/markup-compatibility/2006">
          <mc:Choice Requires="x14">
            <control shapeId="1145" r:id="rId21" name="Drop Down 121">
              <controlPr defaultSize="0" autoLine="0" autoPict="0">
                <anchor moveWithCells="1">
                  <from>
                    <xdr:col>6</xdr:col>
                    <xdr:colOff>38100</xdr:colOff>
                    <xdr:row>69</xdr:row>
                    <xdr:rowOff>104775</xdr:rowOff>
                  </from>
                  <to>
                    <xdr:col>7</xdr:col>
                    <xdr:colOff>1114425</xdr:colOff>
                    <xdr:row>70</xdr:row>
                    <xdr:rowOff>114300</xdr:rowOff>
                  </to>
                </anchor>
              </controlPr>
            </control>
          </mc:Choice>
        </mc:AlternateContent>
        <mc:AlternateContent xmlns:mc="http://schemas.openxmlformats.org/markup-compatibility/2006">
          <mc:Choice Requires="x14">
            <control shapeId="1160" r:id="rId22" name="Drop Down 136">
              <controlPr defaultSize="0" autoLine="0" autoPict="0">
                <anchor moveWithCells="1">
                  <from>
                    <xdr:col>7</xdr:col>
                    <xdr:colOff>228600</xdr:colOff>
                    <xdr:row>4</xdr:row>
                    <xdr:rowOff>200025</xdr:rowOff>
                  </from>
                  <to>
                    <xdr:col>8</xdr:col>
                    <xdr:colOff>0</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9A5ECA69-78AD-45C1-9264-9281F75AEB24}">
            <xm:f>Variable_Management!$B$171</xm:f>
            <x14:dxf>
              <font>
                <b val="0"/>
                <i val="0"/>
                <strike val="0"/>
                <color auto="1"/>
              </font>
              <fill>
                <patternFill>
                  <bgColor rgb="FFFF0000"/>
                </patternFill>
              </fill>
            </x14:dxf>
          </x14:cfRule>
          <xm:sqref>H74</xm:sqref>
        </x14:conditionalFormatting>
        <x14:conditionalFormatting xmlns:xm="http://schemas.microsoft.com/office/excel/2006/main">
          <x14:cfRule type="cellIs" priority="14" operator="lessThan" id="{8542B508-5CF6-490D-B153-BA595CA92FB8}">
            <xm:f>Constants!$B$8</xm:f>
            <x14:dxf>
              <font>
                <color theme="1"/>
              </font>
              <fill>
                <patternFill>
                  <bgColor rgb="FFFF0000"/>
                </patternFill>
              </fill>
            </x14:dxf>
          </x14:cfRule>
          <xm:sqref>H7</xm:sqref>
        </x14:conditionalFormatting>
        <x14:conditionalFormatting xmlns:xm="http://schemas.microsoft.com/office/excel/2006/main">
          <x14:cfRule type="cellIs" priority="13" operator="greaterThan" id="{A8886CEB-EF70-4EC7-BCFA-BF8E5120D096}">
            <xm:f>Constants!$B$9</xm:f>
            <x14:dxf>
              <font>
                <color auto="1"/>
              </font>
              <fill>
                <patternFill>
                  <bgColor rgb="FFFF0000"/>
                </patternFill>
              </fill>
            </x14:dxf>
          </x14:cfRule>
          <xm:sqref>H9</xm:sqref>
        </x14:conditionalFormatting>
        <x14:conditionalFormatting xmlns:xm="http://schemas.microsoft.com/office/excel/2006/main">
          <x14:cfRule type="cellIs" priority="7" operator="lessThan" id="{93F65992-E419-4ADB-A355-40FB3E0412F5}">
            <xm:f>Constants!$B$10</xm:f>
            <x14:dxf>
              <font>
                <color auto="1"/>
              </font>
              <fill>
                <patternFill>
                  <bgColor rgb="FFFF0000"/>
                </patternFill>
              </fill>
            </x14:dxf>
          </x14:cfRule>
          <x14:cfRule type="cellIs" priority="8" operator="greaterThan" id="{97FC8B21-7015-4A04-8805-0B08090C0D73}">
            <xm:f>Constants!$B$11</xm:f>
            <x14:dxf>
              <font>
                <color auto="1"/>
              </font>
              <fill>
                <patternFill>
                  <bgColor rgb="FFFF0000"/>
                </patternFill>
              </fill>
            </x14:dxf>
          </x14:cfRule>
          <xm:sqref>H10</xm:sqref>
        </x14:conditionalFormatting>
        <x14:conditionalFormatting xmlns:xm="http://schemas.microsoft.com/office/excel/2006/main">
          <x14:cfRule type="expression" priority="1" id="{60EC3949-2CDA-494A-8096-E0FE85BD7799}">
            <xm:f>Variable_Management!$B$18&gt;Variable_Management!$B$19</xm:f>
            <x14:dxf>
              <font>
                <color auto="1"/>
              </font>
              <fill>
                <patternFill>
                  <bgColor rgb="FFFF0000"/>
                </patternFill>
              </fill>
            </x14:dxf>
          </x14:cfRule>
          <xm:sqref>H15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D371B2D-F4D0-466D-ADFD-CA688F4B647C}">
          <x14:formula1>
            <xm:f>Lists!$U$3:$U$4</xm:f>
          </x14:formula1>
          <xm:sqref>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324"/>
  <sheetViews>
    <sheetView zoomScaleNormal="100" workbookViewId="0">
      <pane ySplit="5" topLeftCell="A282" activePane="bottomLeft" state="frozen"/>
      <selection pane="bottomLeft" activeCell="B201" sqref="B201"/>
    </sheetView>
  </sheetViews>
  <sheetFormatPr defaultRowHeight="15" x14ac:dyDescent="0.25"/>
  <cols>
    <col min="1" max="1" width="28.7109375" customWidth="1"/>
    <col min="2" max="2" width="19.5703125" customWidth="1"/>
    <col min="3" max="3" width="10.7109375" customWidth="1"/>
    <col min="4" max="4" width="10" bestFit="1" customWidth="1"/>
    <col min="5" max="5" width="18.5703125" customWidth="1"/>
    <col min="6" max="6" width="14.7109375" customWidth="1"/>
    <col min="7" max="7" width="15.28515625" customWidth="1"/>
    <col min="8" max="8" width="12.5703125" customWidth="1"/>
    <col min="9" max="9" width="12.5703125" style="4" customWidth="1"/>
    <col min="10" max="10" width="35.85546875" customWidth="1"/>
    <col min="12" max="12" width="12.28515625" bestFit="1" customWidth="1"/>
  </cols>
  <sheetData>
    <row r="1" spans="1:17" ht="27.75" x14ac:dyDescent="0.4">
      <c r="A1" s="365" t="s">
        <v>9</v>
      </c>
      <c r="B1" s="365"/>
      <c r="C1" s="365"/>
      <c r="D1" s="365"/>
      <c r="E1" s="365"/>
      <c r="F1" s="365"/>
      <c r="G1" s="365"/>
      <c r="H1" s="365"/>
      <c r="I1" s="365"/>
      <c r="J1" s="365"/>
    </row>
    <row r="2" spans="1:17" x14ac:dyDescent="0.25">
      <c r="A2" s="6"/>
      <c r="B2" s="6" t="s">
        <v>10</v>
      </c>
      <c r="C2" s="7"/>
      <c r="D2" s="5"/>
      <c r="E2" s="6"/>
      <c r="F2" s="6"/>
      <c r="G2" s="6"/>
      <c r="H2" s="6"/>
      <c r="I2" s="12"/>
      <c r="J2" s="6"/>
    </row>
    <row r="3" spans="1:17" x14ac:dyDescent="0.25">
      <c r="A3" s="6"/>
      <c r="B3" s="6" t="s">
        <v>11</v>
      </c>
      <c r="C3" s="8"/>
      <c r="D3" s="5"/>
      <c r="E3" s="6"/>
      <c r="F3" s="24" t="s">
        <v>45</v>
      </c>
      <c r="G3" s="25" t="s">
        <v>46</v>
      </c>
      <c r="H3" s="39" t="s">
        <v>438</v>
      </c>
      <c r="I3" s="12"/>
      <c r="J3" s="6"/>
    </row>
    <row r="4" spans="1:17" x14ac:dyDescent="0.25">
      <c r="A4" s="6"/>
      <c r="B4" s="6" t="s">
        <v>12</v>
      </c>
      <c r="C4" s="9"/>
      <c r="D4" s="5"/>
      <c r="E4" s="6"/>
      <c r="F4" s="6"/>
      <c r="G4" s="6"/>
      <c r="H4" s="6"/>
      <c r="I4" s="12"/>
      <c r="J4" s="6"/>
    </row>
    <row r="5" spans="1:17" x14ac:dyDescent="0.25">
      <c r="A5" s="11" t="s">
        <v>13</v>
      </c>
      <c r="B5" s="11" t="s">
        <v>14</v>
      </c>
      <c r="C5" s="11" t="s">
        <v>15</v>
      </c>
      <c r="D5" s="10"/>
      <c r="E5" s="366" t="s">
        <v>16</v>
      </c>
      <c r="F5" s="366"/>
      <c r="G5" s="366"/>
      <c r="H5" s="366"/>
      <c r="I5" s="20"/>
      <c r="J5" s="26" t="s">
        <v>17</v>
      </c>
      <c r="K5" s="11" t="s">
        <v>50</v>
      </c>
      <c r="L5" s="10"/>
      <c r="M5" s="10"/>
      <c r="N5" s="10"/>
      <c r="O5" s="10"/>
      <c r="P5" s="10"/>
      <c r="Q5" s="10"/>
    </row>
    <row r="6" spans="1:17" ht="15.75" x14ac:dyDescent="0.25">
      <c r="A6" s="19" t="s">
        <v>18</v>
      </c>
      <c r="B6" s="16"/>
      <c r="C6" s="16"/>
      <c r="D6" s="16"/>
      <c r="E6" s="17"/>
      <c r="F6" s="17"/>
      <c r="G6" s="17"/>
      <c r="H6" s="17"/>
      <c r="I6" s="17"/>
      <c r="J6" s="16"/>
      <c r="K6" s="10"/>
      <c r="L6" s="10"/>
      <c r="M6" s="10"/>
      <c r="N6" s="10"/>
      <c r="O6" s="10"/>
      <c r="P6" s="10"/>
      <c r="Q6" s="10"/>
    </row>
    <row r="7" spans="1:17" s="32" customFormat="1" x14ac:dyDescent="0.25">
      <c r="A7" s="32" t="s">
        <v>755</v>
      </c>
      <c r="B7" s="3">
        <v>1</v>
      </c>
      <c r="C7" s="16"/>
      <c r="D7" s="16"/>
      <c r="E7" s="346" t="s">
        <v>758</v>
      </c>
      <c r="F7" s="17"/>
      <c r="G7" s="17"/>
      <c r="H7" s="17"/>
      <c r="I7" s="17"/>
      <c r="J7" s="16"/>
      <c r="K7" s="18"/>
      <c r="L7" s="18"/>
      <c r="M7" s="18"/>
      <c r="N7" s="18"/>
      <c r="O7" s="18"/>
      <c r="P7" s="18"/>
      <c r="Q7" s="18"/>
    </row>
    <row r="8" spans="1:17" x14ac:dyDescent="0.25">
      <c r="A8" t="s">
        <v>19</v>
      </c>
      <c r="B8" s="3">
        <f>'Design Converter'!H7</f>
        <v>9</v>
      </c>
      <c r="C8" t="s">
        <v>5</v>
      </c>
      <c r="E8" t="s">
        <v>22</v>
      </c>
    </row>
    <row r="9" spans="1:17" x14ac:dyDescent="0.25">
      <c r="A9" t="s">
        <v>20</v>
      </c>
      <c r="B9" s="3">
        <f>'Design Converter'!H8</f>
        <v>14.4</v>
      </c>
      <c r="C9" t="s">
        <v>5</v>
      </c>
      <c r="E9" t="s">
        <v>23</v>
      </c>
      <c r="K9">
        <f>IF(VIN_min&lt;VIN_min,1,IF(VIN_nom&gt;VIN_max,1,0))</f>
        <v>0</v>
      </c>
    </row>
    <row r="10" spans="1:17" x14ac:dyDescent="0.25">
      <c r="A10" t="s">
        <v>21</v>
      </c>
      <c r="B10" s="3">
        <f>'Design Converter'!H9</f>
        <v>16</v>
      </c>
      <c r="C10" t="s">
        <v>5</v>
      </c>
      <c r="E10" t="s">
        <v>24</v>
      </c>
    </row>
    <row r="11" spans="1:17" s="4" customFormat="1" x14ac:dyDescent="0.25">
      <c r="A11" s="4" t="s">
        <v>47</v>
      </c>
      <c r="B11" s="3">
        <f>'Design Converter'!H13*1000</f>
        <v>400000</v>
      </c>
      <c r="C11" s="4" t="s">
        <v>48</v>
      </c>
      <c r="E11" s="4" t="s">
        <v>49</v>
      </c>
    </row>
    <row r="12" spans="1:17" s="4" customFormat="1" x14ac:dyDescent="0.25">
      <c r="A12" s="4" t="s">
        <v>51</v>
      </c>
      <c r="B12" s="30">
        <f>((1/Fsw)-0.000000018)*31500000000</f>
        <v>78183</v>
      </c>
      <c r="C12" s="2" t="s">
        <v>29</v>
      </c>
      <c r="E12" s="4" t="s">
        <v>52</v>
      </c>
    </row>
    <row r="13" spans="1:17" x14ac:dyDescent="0.25">
      <c r="A13" t="s">
        <v>25</v>
      </c>
      <c r="B13" s="3">
        <f>'Design Converter'!H10</f>
        <v>45</v>
      </c>
      <c r="C13" t="s">
        <v>5</v>
      </c>
      <c r="E13" t="s">
        <v>469</v>
      </c>
    </row>
    <row r="14" spans="1:17" x14ac:dyDescent="0.25">
      <c r="A14" t="s">
        <v>26</v>
      </c>
      <c r="B14" s="3">
        <f>'Design Converter'!H11/Np</f>
        <v>11</v>
      </c>
      <c r="C14" t="s">
        <v>6</v>
      </c>
      <c r="E14" t="s">
        <v>27</v>
      </c>
    </row>
    <row r="15" spans="1:17" x14ac:dyDescent="0.25">
      <c r="A15" t="s">
        <v>28</v>
      </c>
      <c r="B15" s="29">
        <f>VOUT/IOUT</f>
        <v>4.0909090909090908</v>
      </c>
      <c r="C15" s="2" t="s">
        <v>29</v>
      </c>
      <c r="E15" t="s">
        <v>34</v>
      </c>
    </row>
    <row r="16" spans="1:17" x14ac:dyDescent="0.25">
      <c r="A16" t="s">
        <v>30</v>
      </c>
      <c r="B16" s="1">
        <f>VOUT*IOUT</f>
        <v>495</v>
      </c>
      <c r="C16" s="2" t="s">
        <v>31</v>
      </c>
      <c r="E16" t="s">
        <v>33</v>
      </c>
    </row>
    <row r="17" spans="1:11" x14ac:dyDescent="0.25">
      <c r="A17" t="s">
        <v>32</v>
      </c>
      <c r="B17" s="21">
        <v>1</v>
      </c>
      <c r="E17" t="s">
        <v>432</v>
      </c>
    </row>
    <row r="18" spans="1:11" x14ac:dyDescent="0.25">
      <c r="A18" t="s">
        <v>437</v>
      </c>
      <c r="B18" s="3">
        <f>Np</f>
        <v>2</v>
      </c>
      <c r="E18" t="s">
        <v>465</v>
      </c>
    </row>
    <row r="19" spans="1:11" s="32" customFormat="1" x14ac:dyDescent="0.25">
      <c r="A19" s="32" t="s">
        <v>765</v>
      </c>
      <c r="B19" s="351">
        <f>IF(B7=2,2,4)</f>
        <v>4</v>
      </c>
      <c r="E19" s="32" t="s">
        <v>766</v>
      </c>
    </row>
    <row r="20" spans="1:11" s="32" customFormat="1" x14ac:dyDescent="0.25">
      <c r="A20" s="32" t="s">
        <v>503</v>
      </c>
      <c r="B20" s="30">
        <f>VOUT*10000/6</f>
        <v>75000</v>
      </c>
      <c r="C20" s="2" t="s">
        <v>29</v>
      </c>
    </row>
    <row r="21" spans="1:11" s="32" customFormat="1" x14ac:dyDescent="0.25">
      <c r="A21" s="32" t="s">
        <v>504</v>
      </c>
      <c r="B21" s="30">
        <f>VOUT/30</f>
        <v>1.5</v>
      </c>
      <c r="C21" s="2" t="s">
        <v>5</v>
      </c>
    </row>
    <row r="22" spans="1:11" s="32" customFormat="1" x14ac:dyDescent="0.25">
      <c r="A22" s="32" t="s">
        <v>606</v>
      </c>
      <c r="B22" s="30">
        <f>VOUT/0.75</f>
        <v>60</v>
      </c>
      <c r="C22" s="2" t="s">
        <v>8</v>
      </c>
    </row>
    <row r="23" spans="1:11" s="32" customFormat="1" x14ac:dyDescent="0.25">
      <c r="A23" s="32" t="s">
        <v>431</v>
      </c>
      <c r="B23" s="3">
        <f>IF('Design Converter'!H12="FPWM",3,2)</f>
        <v>2</v>
      </c>
      <c r="E23" s="32" t="s">
        <v>507</v>
      </c>
    </row>
    <row r="24" spans="1:11" s="32" customFormat="1" x14ac:dyDescent="0.25"/>
    <row r="25" spans="1:11" x14ac:dyDescent="0.25">
      <c r="A25" t="s">
        <v>35</v>
      </c>
      <c r="B25" s="1">
        <f>1-VIN_min*EFF_est/VOUT</f>
        <v>0.8</v>
      </c>
      <c r="E25" t="s">
        <v>342</v>
      </c>
    </row>
    <row r="26" spans="1:11" s="4" customFormat="1" x14ac:dyDescent="0.25">
      <c r="A26" t="s">
        <v>36</v>
      </c>
      <c r="B26" s="343">
        <f>Fsw*(1/Fsw-Constants!B16-t_dead)</f>
        <v>0.94800000000000006</v>
      </c>
      <c r="C26"/>
      <c r="D26"/>
      <c r="E26" t="s">
        <v>754</v>
      </c>
    </row>
    <row r="27" spans="1:11" s="32" customFormat="1" x14ac:dyDescent="0.25">
      <c r="B27" s="27"/>
    </row>
    <row r="28" spans="1:11" s="32" customFormat="1" x14ac:dyDescent="0.25">
      <c r="A28" s="32" t="s">
        <v>346</v>
      </c>
      <c r="B28" s="166">
        <f>IF(B25&gt;Dc_max_IC,1,2)</f>
        <v>2</v>
      </c>
      <c r="E28" s="178" t="s">
        <v>433</v>
      </c>
      <c r="K28" s="32">
        <f>IF(B28=1,1,0)</f>
        <v>0</v>
      </c>
    </row>
    <row r="29" spans="1:11" s="32" customFormat="1" x14ac:dyDescent="0.25">
      <c r="E29" s="32" t="s">
        <v>434</v>
      </c>
    </row>
    <row r="31" spans="1:11" x14ac:dyDescent="0.25">
      <c r="A31" s="31" t="s">
        <v>54</v>
      </c>
      <c r="E31" s="32" t="b">
        <f>AND((1-(VIN_max/VOUT))&lt;Dc_rip_max,(1-(VIN_min/VOUT))&lt;Dc_rip_max)</f>
        <v>0</v>
      </c>
    </row>
    <row r="32" spans="1:11" s="32" customFormat="1" x14ac:dyDescent="0.25">
      <c r="A32" s="167" t="s">
        <v>348</v>
      </c>
    </row>
    <row r="33" spans="1:5" x14ac:dyDescent="0.25">
      <c r="A33" t="s">
        <v>66</v>
      </c>
      <c r="B33" s="3">
        <f>'Design Converter'!H23/100</f>
        <v>0.3</v>
      </c>
      <c r="E33" t="s">
        <v>84</v>
      </c>
    </row>
    <row r="34" spans="1:5" s="32" customFormat="1" x14ac:dyDescent="0.25">
      <c r="A34" s="38" t="s">
        <v>94</v>
      </c>
      <c r="B34" s="22">
        <v>0.33</v>
      </c>
      <c r="E34" s="32" t="s">
        <v>93</v>
      </c>
    </row>
    <row r="35" spans="1:5" s="32" customFormat="1" x14ac:dyDescent="0.25">
      <c r="A35" s="32" t="s">
        <v>347</v>
      </c>
      <c r="B35" s="184">
        <f>IF(AND((1-(VIN_max/VOUT))&lt;Dc_rip_max,(1-(VIN_min/VOUT))&gt;=Dc_rip_max),Dc_rip_max,IF((1-(VIN_max/VOUT))&gt;Dc_rip_max,(1-(VIN_max/VOUT)),IF((1-(VIN_min/VOUT))&lt;Dc_rip_max,(1-(VIN_min/VOUT)),0.33)))</f>
        <v>0.64444444444444438</v>
      </c>
    </row>
    <row r="36" spans="1:5" s="32" customFormat="1" x14ac:dyDescent="0.25">
      <c r="A36" s="32" t="s">
        <v>71</v>
      </c>
      <c r="B36" s="27">
        <f>VOUT*(1-DC_rip)</f>
        <v>16.000000000000004</v>
      </c>
      <c r="C36" s="32" t="s">
        <v>5</v>
      </c>
      <c r="E36" s="32" t="s">
        <v>96</v>
      </c>
    </row>
    <row r="37" spans="1:5" s="32" customFormat="1" x14ac:dyDescent="0.25">
      <c r="B37" s="27"/>
    </row>
    <row r="38" spans="1:5" s="32" customFormat="1" x14ac:dyDescent="0.25">
      <c r="A38" s="32" t="s">
        <v>72</v>
      </c>
      <c r="B38" s="184">
        <f>(VOUT*IOUT)/(VIN_33)</f>
        <v>30.937499999999993</v>
      </c>
      <c r="C38" s="32" t="s">
        <v>6</v>
      </c>
      <c r="E38" s="32" t="s">
        <v>95</v>
      </c>
    </row>
    <row r="39" spans="1:5" s="32" customFormat="1" x14ac:dyDescent="0.25">
      <c r="A39" s="32" t="s">
        <v>73</v>
      </c>
      <c r="B39" s="170">
        <f>(VIN_33*DC_rip)/(IIN_33*ILrip*Fsw)</f>
        <v>2.7774036662925561E-6</v>
      </c>
      <c r="C39" s="32" t="s">
        <v>65</v>
      </c>
      <c r="E39" s="32" t="s">
        <v>361</v>
      </c>
    </row>
    <row r="41" spans="1:5" s="32" customFormat="1" x14ac:dyDescent="0.25">
      <c r="A41" s="167" t="s">
        <v>435</v>
      </c>
    </row>
    <row r="42" spans="1:5" s="32" customFormat="1" x14ac:dyDescent="0.25">
      <c r="A42" s="38" t="s">
        <v>351</v>
      </c>
      <c r="B42" s="180">
        <f>'Design Converter'!H23/100</f>
        <v>0.3</v>
      </c>
      <c r="E42" s="32" t="s">
        <v>352</v>
      </c>
    </row>
    <row r="43" spans="1:5" s="32" customFormat="1" x14ac:dyDescent="0.25">
      <c r="A43" s="32" t="s">
        <v>350</v>
      </c>
      <c r="B43" s="170">
        <f>((DC_DCM_max^2)*(VIN_min^2))/(2*IOUT*VOUT*Fsw-2*IOUT*VIN_min*Fsw)</f>
        <v>2.3011363636363637E-8</v>
      </c>
      <c r="C43" s="32" t="s">
        <v>65</v>
      </c>
      <c r="E43" s="32" t="s">
        <v>349</v>
      </c>
    </row>
    <row r="44" spans="1:5" s="32" customFormat="1" x14ac:dyDescent="0.25">
      <c r="A44" s="32" t="s">
        <v>353</v>
      </c>
      <c r="B44" s="22">
        <v>0.2</v>
      </c>
      <c r="E44" s="32" t="s">
        <v>354</v>
      </c>
    </row>
    <row r="45" spans="1:5" s="32" customFormat="1" x14ac:dyDescent="0.25">
      <c r="A45" s="32" t="s">
        <v>355</v>
      </c>
      <c r="B45" s="170">
        <f>(1-M_L_DCM)*((VIN_min^2)*(1-(VIN_min/VOUT)))/(2*IOUT*VOUT*Fsw)</f>
        <v>1.3090909090909093E-7</v>
      </c>
      <c r="C45" s="32" t="s">
        <v>65</v>
      </c>
      <c r="E45" s="32" t="s">
        <v>356</v>
      </c>
    </row>
    <row r="46" spans="1:5" s="32" customFormat="1" x14ac:dyDescent="0.25">
      <c r="A46" s="32" t="s">
        <v>357</v>
      </c>
      <c r="B46" s="170">
        <f>MIN(B43,B45)</f>
        <v>2.3011363636363637E-8</v>
      </c>
      <c r="C46" s="32" t="s">
        <v>65</v>
      </c>
      <c r="E46" s="32" t="s">
        <v>358</v>
      </c>
    </row>
    <row r="47" spans="1:5" s="32" customFormat="1" x14ac:dyDescent="0.25">
      <c r="B47" s="170"/>
    </row>
    <row r="48" spans="1:5" s="32" customFormat="1" x14ac:dyDescent="0.25">
      <c r="A48" s="32" t="s">
        <v>360</v>
      </c>
      <c r="B48" s="37">
        <f>IF(B28=1,B46,Lopt_2)</f>
        <v>2.7774036662925561E-6</v>
      </c>
      <c r="E48" s="32" t="s">
        <v>359</v>
      </c>
    </row>
    <row r="49" spans="1:9" s="32" customFormat="1" x14ac:dyDescent="0.25"/>
    <row r="50" spans="1:9" x14ac:dyDescent="0.25">
      <c r="A50" t="s">
        <v>67</v>
      </c>
      <c r="B50" s="34">
        <f>CHOOSE(B28,'Design Converter'!H25*10^-9,'Design Converter'!H25*10^-6)</f>
        <v>3.2999999999999997E-6</v>
      </c>
      <c r="C50" t="s">
        <v>65</v>
      </c>
      <c r="E50" t="s">
        <v>68</v>
      </c>
    </row>
    <row r="51" spans="1:9" x14ac:dyDescent="0.25">
      <c r="A51" t="s">
        <v>69</v>
      </c>
      <c r="B51" s="3">
        <f>'Design Converter'!H26*10^-3</f>
        <v>6.0000000000000001E-3</v>
      </c>
      <c r="C51" s="2" t="s">
        <v>29</v>
      </c>
      <c r="E51" t="s">
        <v>97</v>
      </c>
    </row>
    <row r="52" spans="1:9" s="32" customFormat="1" x14ac:dyDescent="0.25">
      <c r="A52" s="32" t="s">
        <v>98</v>
      </c>
      <c r="B52" s="22">
        <v>0.2</v>
      </c>
      <c r="C52" s="2"/>
      <c r="E52" s="32" t="s">
        <v>99</v>
      </c>
    </row>
    <row r="53" spans="1:9" x14ac:dyDescent="0.25">
      <c r="B53" t="s">
        <v>74</v>
      </c>
    </row>
    <row r="54" spans="1:9" s="32" customFormat="1" x14ac:dyDescent="0.25">
      <c r="A54" s="47" t="s">
        <v>362</v>
      </c>
    </row>
    <row r="55" spans="1:9" s="32" customFormat="1" x14ac:dyDescent="0.25"/>
    <row r="56" spans="1:9" s="32" customFormat="1" x14ac:dyDescent="0.25">
      <c r="A56" s="35" t="s">
        <v>363</v>
      </c>
    </row>
    <row r="57" spans="1:9" s="32" customFormat="1" x14ac:dyDescent="0.25">
      <c r="A57" s="32" t="s">
        <v>364</v>
      </c>
      <c r="B57" s="32">
        <f>IF(B23=3,1,IF((VOUT*IOUT)/(VIN_min*Np)&lt;((VIN_min*(1-(VIN_min/VOUT)))/(2*Lm*Fsw)),0,1))</f>
        <v>1</v>
      </c>
      <c r="E57" s="32" t="s">
        <v>439</v>
      </c>
      <c r="I57" s="47"/>
    </row>
    <row r="58" spans="1:9" s="32" customFormat="1" x14ac:dyDescent="0.25">
      <c r="A58" s="32" t="s">
        <v>56</v>
      </c>
      <c r="B58" s="1">
        <f>IF(B57=0,SQRT((2*(IOUT/Np)*Lm*Fsw*(VOUT-VIN_min)/(VIN_min^2))),(1-VIN_min/VOUT))</f>
        <v>0.8</v>
      </c>
      <c r="E58" s="32" t="s">
        <v>343</v>
      </c>
    </row>
    <row r="59" spans="1:9" s="32" customFormat="1" x14ac:dyDescent="0.25">
      <c r="B59" s="23">
        <f>B58/Fsw</f>
        <v>1.9999999999999999E-6</v>
      </c>
      <c r="C59" s="32" t="s">
        <v>40</v>
      </c>
      <c r="E59" s="32" t="s">
        <v>238</v>
      </c>
    </row>
    <row r="60" spans="1:9" s="32" customFormat="1" x14ac:dyDescent="0.25">
      <c r="A60" s="32" t="s">
        <v>60</v>
      </c>
      <c r="B60" s="29">
        <f>(VOUT*IOUT)/(VIN_min)</f>
        <v>55</v>
      </c>
      <c r="C60" s="32" t="s">
        <v>6</v>
      </c>
      <c r="E60" s="32" t="s">
        <v>62</v>
      </c>
    </row>
    <row r="61" spans="1:9" s="32" customFormat="1" x14ac:dyDescent="0.25">
      <c r="A61" s="32" t="s">
        <v>77</v>
      </c>
      <c r="B61" s="28">
        <f>(VIN_min*Dc_VIN_min)/(Lm*Fsw)</f>
        <v>5.454545454545455</v>
      </c>
      <c r="C61" s="32" t="s">
        <v>6</v>
      </c>
      <c r="E61" s="32" t="s">
        <v>78</v>
      </c>
    </row>
    <row r="62" spans="1:9" x14ac:dyDescent="0.25">
      <c r="A62" t="s">
        <v>75</v>
      </c>
      <c r="B62" s="28">
        <f>IF(B57=0,(VIN_min*Dc_VIN_min)/(Lm*Fsw),(IL_avg_VIN_min/EFF_est)+(ILrip_VINmin/2))</f>
        <v>57.727272727272727</v>
      </c>
      <c r="C62" t="s">
        <v>6</v>
      </c>
      <c r="E62" t="s">
        <v>76</v>
      </c>
    </row>
    <row r="63" spans="1:9" s="32" customFormat="1" x14ac:dyDescent="0.25">
      <c r="B63" s="27"/>
    </row>
    <row r="64" spans="1:9" s="32" customFormat="1" x14ac:dyDescent="0.25">
      <c r="A64" s="35" t="s">
        <v>23</v>
      </c>
      <c r="B64" s="27"/>
    </row>
    <row r="65" spans="1:5" s="32" customFormat="1" x14ac:dyDescent="0.25">
      <c r="A65" s="32" t="s">
        <v>365</v>
      </c>
      <c r="B65" s="32">
        <f>IF(B23=3,1,IF((VOUT*IOUT)/(VIN_nom*Np)&lt;((VIN_nom*(1-(VIN_nom/VOUT)))/(2*Lm*Fsw)),0,1))</f>
        <v>1</v>
      </c>
      <c r="E65" s="32" t="s">
        <v>436</v>
      </c>
    </row>
    <row r="66" spans="1:5" s="32" customFormat="1" x14ac:dyDescent="0.25">
      <c r="A66" s="32" t="s">
        <v>57</v>
      </c>
      <c r="B66" s="1">
        <f>IF(B65=0,SQRT((2*(IOUT/Np)*Lm*Fsw*(VOUT-VIN_nom)/(VIN_nom^2))),(1-VIN_nom/VOUT))</f>
        <v>0.67999999999999994</v>
      </c>
      <c r="E66" s="32" t="s">
        <v>344</v>
      </c>
    </row>
    <row r="67" spans="1:5" s="32" customFormat="1" x14ac:dyDescent="0.25">
      <c r="B67" s="23">
        <f>B66/Fsw</f>
        <v>1.6999999999999998E-6</v>
      </c>
      <c r="C67" s="32" t="s">
        <v>40</v>
      </c>
      <c r="E67" s="32" t="s">
        <v>238</v>
      </c>
    </row>
    <row r="68" spans="1:5" s="32" customFormat="1" x14ac:dyDescent="0.25">
      <c r="A68" s="32" t="s">
        <v>61</v>
      </c>
      <c r="B68" s="29">
        <f>(VOUT*IOUT)/(VIN_nom)</f>
        <v>34.375</v>
      </c>
      <c r="C68" s="32" t="s">
        <v>6</v>
      </c>
      <c r="E68" s="32" t="s">
        <v>63</v>
      </c>
    </row>
    <row r="69" spans="1:5" x14ac:dyDescent="0.25">
      <c r="A69" s="32" t="s">
        <v>79</v>
      </c>
      <c r="B69" s="28">
        <f>(VIN_nom*Dc_VIN_nom)/(Lm*Fsw)</f>
        <v>7.4181818181818189</v>
      </c>
      <c r="C69" s="32" t="s">
        <v>6</v>
      </c>
      <c r="E69" s="32" t="s">
        <v>85</v>
      </c>
    </row>
    <row r="70" spans="1:5" x14ac:dyDescent="0.25">
      <c r="A70" s="32" t="s">
        <v>80</v>
      </c>
      <c r="B70" s="28">
        <f>IF(B65=0,(VIN_nom*Dc_VIN_nom)/(Lm*Fsw),(IL_avg_VIN_nom/EFF_est)+(ILrip_VINnom/2))</f>
        <v>38.084090909090911</v>
      </c>
      <c r="C70" s="32" t="s">
        <v>6</v>
      </c>
      <c r="E70" s="32" t="s">
        <v>86</v>
      </c>
    </row>
    <row r="71" spans="1:5" s="32" customFormat="1" x14ac:dyDescent="0.25">
      <c r="B71" s="27"/>
    </row>
    <row r="72" spans="1:5" s="32" customFormat="1" x14ac:dyDescent="0.25">
      <c r="A72" s="35" t="s">
        <v>24</v>
      </c>
      <c r="B72" s="27"/>
    </row>
    <row r="73" spans="1:5" s="32" customFormat="1" x14ac:dyDescent="0.25">
      <c r="A73" s="32" t="s">
        <v>366</v>
      </c>
      <c r="B73" s="27">
        <f>IF(B23=3,1,IF((VOUT*IOUT)/(VIN_max*Np)&lt;((VIN_max*(1-(VIN_max/VOUT)))/(2*Lm*Fsw)),0,1))</f>
        <v>1</v>
      </c>
      <c r="E73" s="32" t="s">
        <v>436</v>
      </c>
    </row>
    <row r="74" spans="1:5" s="32" customFormat="1" x14ac:dyDescent="0.25">
      <c r="A74" s="32" t="s">
        <v>58</v>
      </c>
      <c r="B74" s="1">
        <f>IF(B73=0,SQRT((2*(IOUT/Np)*Lm*Fsw*(VOUT-VIN_max)/(VIN_max^2))),(1-VIN_max/VOUT))</f>
        <v>0.64444444444444438</v>
      </c>
      <c r="E74" s="32" t="s">
        <v>345</v>
      </c>
    </row>
    <row r="75" spans="1:5" s="32" customFormat="1" x14ac:dyDescent="0.25">
      <c r="B75" s="23">
        <f>B74/Fsw</f>
        <v>1.6111111111111109E-6</v>
      </c>
      <c r="C75" s="32" t="s">
        <v>40</v>
      </c>
      <c r="E75" s="32" t="s">
        <v>238</v>
      </c>
    </row>
    <row r="76" spans="1:5" s="32" customFormat="1" x14ac:dyDescent="0.25">
      <c r="A76" s="32" t="s">
        <v>367</v>
      </c>
      <c r="B76" s="29">
        <f>(VOUT*IOUT)/(VIN_max)</f>
        <v>30.9375</v>
      </c>
      <c r="C76" s="32" t="s">
        <v>6</v>
      </c>
      <c r="E76" s="32" t="s">
        <v>64</v>
      </c>
    </row>
    <row r="77" spans="1:5" x14ac:dyDescent="0.25">
      <c r="A77" s="32" t="s">
        <v>81</v>
      </c>
      <c r="B77" s="28">
        <f>(VIN_max*Dc_VIN_max)/(Lm*Fsw)</f>
        <v>7.8114478114478114</v>
      </c>
      <c r="C77" s="32" t="s">
        <v>6</v>
      </c>
      <c r="E77" s="32" t="s">
        <v>87</v>
      </c>
    </row>
    <row r="78" spans="1:5" x14ac:dyDescent="0.25">
      <c r="A78" s="32" t="s">
        <v>82</v>
      </c>
      <c r="B78" s="28">
        <f>IF(B73=0,(VIN_max*Dc_VIN_max)/(Lm*Fsw),(IL_avg_VIN_max/EFF_est)+(ILrip_VINmax/2))</f>
        <v>34.843223905723903</v>
      </c>
      <c r="C78" s="32" t="s">
        <v>6</v>
      </c>
      <c r="E78" s="32" t="s">
        <v>88</v>
      </c>
    </row>
    <row r="80" spans="1:5" x14ac:dyDescent="0.25">
      <c r="A80" s="31" t="s">
        <v>83</v>
      </c>
    </row>
    <row r="81" spans="1:11" x14ac:dyDescent="0.25">
      <c r="A81" t="s">
        <v>89</v>
      </c>
      <c r="B81" s="3">
        <f>'Design Converter'!H30/100</f>
        <v>0.4</v>
      </c>
      <c r="E81" t="s">
        <v>90</v>
      </c>
    </row>
    <row r="82" spans="1:11" s="32" customFormat="1" x14ac:dyDescent="0.25">
      <c r="A82" s="32" t="s">
        <v>463</v>
      </c>
      <c r="B82" s="22">
        <v>0.95</v>
      </c>
      <c r="E82" s="32" t="s">
        <v>464</v>
      </c>
    </row>
    <row r="83" spans="1:11" x14ac:dyDescent="0.25">
      <c r="A83" t="s">
        <v>91</v>
      </c>
      <c r="B83" s="21">
        <f>'Design Converter'!H30</f>
        <v>40</v>
      </c>
      <c r="C83" t="s">
        <v>6</v>
      </c>
      <c r="E83" t="s">
        <v>92</v>
      </c>
    </row>
    <row r="84" spans="1:11" s="32" customFormat="1" x14ac:dyDescent="0.25">
      <c r="B84" s="175"/>
    </row>
    <row r="85" spans="1:11" s="32" customFormat="1" x14ac:dyDescent="0.25">
      <c r="A85" s="32" t="s">
        <v>102</v>
      </c>
      <c r="B85" s="22">
        <v>0.66600000000000004</v>
      </c>
      <c r="E85" s="32" t="s">
        <v>440</v>
      </c>
    </row>
    <row r="86" spans="1:11" x14ac:dyDescent="0.25">
      <c r="A86" t="s">
        <v>100</v>
      </c>
      <c r="B86" s="37">
        <f>IF(OR(Dc_VIN_min&lt;0.5,B57=0),1000,(Lm*Vsl*Fsw)/(B85*(VOUT-VIN_min)))</f>
        <v>2.6426426426426424E-3</v>
      </c>
      <c r="C86" s="2" t="s">
        <v>29</v>
      </c>
      <c r="E86" t="s">
        <v>101</v>
      </c>
    </row>
    <row r="87" spans="1:11" x14ac:dyDescent="0.25">
      <c r="A87" t="s">
        <v>103</v>
      </c>
      <c r="B87" s="37">
        <f>Vcl/Ipk_selected</f>
        <v>1.5E-3</v>
      </c>
      <c r="C87" s="2" t="s">
        <v>29</v>
      </c>
      <c r="E87" t="s">
        <v>513</v>
      </c>
    </row>
    <row r="88" spans="1:11" s="32" customFormat="1" x14ac:dyDescent="0.25">
      <c r="B88" s="27"/>
    </row>
    <row r="89" spans="1:11" x14ac:dyDescent="0.25">
      <c r="A89" t="s">
        <v>106</v>
      </c>
      <c r="B89" s="1">
        <f>IF(Rcs_wo_sl&gt;Rcs_max,1,0)</f>
        <v>0</v>
      </c>
      <c r="E89" t="s">
        <v>369</v>
      </c>
    </row>
    <row r="90" spans="1:11" x14ac:dyDescent="0.25">
      <c r="A90" t="s">
        <v>107</v>
      </c>
      <c r="B90" s="40">
        <f>IF(B57=0,Rcs_wo_sl,IF(B89=0,Rcs_wo_sl,Rcs_w_sl))</f>
        <v>1.5E-3</v>
      </c>
      <c r="C90" s="2" t="s">
        <v>29</v>
      </c>
      <c r="E90" t="s">
        <v>368</v>
      </c>
    </row>
    <row r="91" spans="1:11" x14ac:dyDescent="0.25">
      <c r="A91" t="s">
        <v>108</v>
      </c>
      <c r="B91" s="1">
        <v>0</v>
      </c>
      <c r="C91" s="2" t="s">
        <v>29</v>
      </c>
      <c r="E91" t="s">
        <v>514</v>
      </c>
    </row>
    <row r="93" spans="1:11" x14ac:dyDescent="0.25">
      <c r="A93" t="s">
        <v>109</v>
      </c>
      <c r="B93" s="41">
        <f>'Design Converter'!H32/1000</f>
        <v>1.5E-3</v>
      </c>
      <c r="C93" s="2" t="s">
        <v>29</v>
      </c>
      <c r="E93" t="s">
        <v>111</v>
      </c>
    </row>
    <row r="94" spans="1:11" x14ac:dyDescent="0.25">
      <c r="A94" t="s">
        <v>110</v>
      </c>
      <c r="B94" s="3">
        <v>0</v>
      </c>
      <c r="C94" s="2" t="s">
        <v>29</v>
      </c>
      <c r="E94" t="s">
        <v>768</v>
      </c>
    </row>
    <row r="96" spans="1:11" x14ac:dyDescent="0.25">
      <c r="A96" t="s">
        <v>114</v>
      </c>
      <c r="B96" s="27">
        <f>(Vsl*Fsw)/(((VOUT-VIN_min)/Lm)*R_cs)</f>
        <v>1.1733333333333331</v>
      </c>
      <c r="C96" t="s">
        <v>121</v>
      </c>
      <c r="E96" t="s">
        <v>112</v>
      </c>
      <c r="K96">
        <f>IF(B65=0,0,IF(B96&lt;0.5,1,0))</f>
        <v>0</v>
      </c>
    </row>
    <row r="97" spans="1:11" s="32" customFormat="1" x14ac:dyDescent="0.25">
      <c r="A97" s="32" t="s">
        <v>115</v>
      </c>
      <c r="B97" s="29">
        <f>Vcl/R_cs</f>
        <v>40</v>
      </c>
      <c r="C97" s="32" t="s">
        <v>6</v>
      </c>
      <c r="E97" s="32" t="s">
        <v>117</v>
      </c>
      <c r="K97">
        <f>IF(IL_pk&lt;Ipk_selected,1,0)</f>
        <v>0</v>
      </c>
    </row>
    <row r="98" spans="1:11" x14ac:dyDescent="0.25">
      <c r="A98" t="s">
        <v>116</v>
      </c>
      <c r="B98" s="29">
        <f>Vcl/R_cs</f>
        <v>40</v>
      </c>
      <c r="C98" t="s">
        <v>6</v>
      </c>
      <c r="E98" t="s">
        <v>118</v>
      </c>
    </row>
    <row r="99" spans="1:11" x14ac:dyDescent="0.25">
      <c r="A99" t="s">
        <v>119</v>
      </c>
      <c r="B99" s="22">
        <f>0.15</f>
        <v>0.15</v>
      </c>
      <c r="E99" t="s">
        <v>120</v>
      </c>
    </row>
    <row r="100" spans="1:11" x14ac:dyDescent="0.25">
      <c r="A100" t="s">
        <v>122</v>
      </c>
      <c r="B100" s="184">
        <f>(1+B99)*B98</f>
        <v>46</v>
      </c>
      <c r="C100" t="s">
        <v>6</v>
      </c>
      <c r="E100" t="s">
        <v>123</v>
      </c>
    </row>
    <row r="101" spans="1:11" x14ac:dyDescent="0.25">
      <c r="I101"/>
    </row>
    <row r="103" spans="1:11" x14ac:dyDescent="0.25">
      <c r="A103" s="35" t="s">
        <v>124</v>
      </c>
      <c r="E103" t="s">
        <v>441</v>
      </c>
    </row>
    <row r="104" spans="1:11" s="32" customFormat="1" x14ac:dyDescent="0.25">
      <c r="A104"/>
      <c r="B104"/>
      <c r="C104"/>
      <c r="D104"/>
      <c r="E104"/>
      <c r="F104"/>
      <c r="G104"/>
    </row>
    <row r="105" spans="1:11" s="32" customFormat="1" x14ac:dyDescent="0.25">
      <c r="A105"/>
      <c r="B105"/>
      <c r="C105"/>
      <c r="D105"/>
      <c r="E105"/>
      <c r="F105"/>
      <c r="G105"/>
    </row>
    <row r="106" spans="1:11" x14ac:dyDescent="0.25">
      <c r="A106" s="43" t="s">
        <v>125</v>
      </c>
      <c r="E106" t="s">
        <v>444</v>
      </c>
    </row>
    <row r="107" spans="1:11" s="32" customFormat="1" x14ac:dyDescent="0.25">
      <c r="A107"/>
      <c r="B107"/>
      <c r="C107"/>
      <c r="D107"/>
      <c r="E107"/>
      <c r="F107"/>
      <c r="G107"/>
    </row>
    <row r="108" spans="1:11" x14ac:dyDescent="0.25">
      <c r="A108" s="32" t="s">
        <v>370</v>
      </c>
      <c r="B108" s="1">
        <f>IF(B57=0,2*Fsw/(Dc_VIN_min*5),(VOUT/IOUT)*((VIN_min^2)/VOUT^2)/(Lm*5))</f>
        <v>9917.3553719008269</v>
      </c>
      <c r="C108" s="32" t="s">
        <v>407</v>
      </c>
      <c r="D108" s="32"/>
      <c r="E108" s="32" t="s">
        <v>602</v>
      </c>
      <c r="F108" s="32"/>
      <c r="G108" s="32"/>
      <c r="I108"/>
    </row>
    <row r="109" spans="1:11" x14ac:dyDescent="0.25">
      <c r="A109" s="32"/>
      <c r="B109" s="27">
        <f>B108/(2*PI())</f>
        <v>1578.3961298369786</v>
      </c>
      <c r="C109" s="32" t="s">
        <v>48</v>
      </c>
      <c r="D109" s="32"/>
      <c r="E109" s="32"/>
      <c r="F109" s="32"/>
      <c r="G109" s="32"/>
      <c r="I109"/>
    </row>
    <row r="110" spans="1:11" x14ac:dyDescent="0.25">
      <c r="A110" t="s">
        <v>129</v>
      </c>
      <c r="B110" s="44">
        <f>'Design Converter'!H36/1000</f>
        <v>1.2</v>
      </c>
      <c r="C110" t="s">
        <v>5</v>
      </c>
      <c r="E110" t="s">
        <v>128</v>
      </c>
      <c r="I110"/>
    </row>
    <row r="111" spans="1:11" x14ac:dyDescent="0.25">
      <c r="A111" s="32" t="s">
        <v>371</v>
      </c>
      <c r="B111" s="1">
        <f>IOUT-0.5*IOUT</f>
        <v>5.5</v>
      </c>
      <c r="C111" s="32" t="s">
        <v>6</v>
      </c>
      <c r="D111" s="32"/>
      <c r="E111" s="32"/>
      <c r="F111" s="32"/>
      <c r="G111" s="32"/>
      <c r="I111"/>
    </row>
    <row r="112" spans="1:11" x14ac:dyDescent="0.25">
      <c r="A112" t="s">
        <v>130</v>
      </c>
      <c r="B112" s="1">
        <f>B111/(Vout_rip_sel*B108)</f>
        <v>4.621527777777778E-4</v>
      </c>
      <c r="C112" t="s">
        <v>131</v>
      </c>
      <c r="E112" t="s">
        <v>132</v>
      </c>
      <c r="I112"/>
    </row>
    <row r="113" spans="1:12" s="32" customFormat="1" x14ac:dyDescent="0.25">
      <c r="A113" t="s">
        <v>133</v>
      </c>
      <c r="B113" s="186">
        <f>SQRT((1-Dc_VIN_min)*((IOUT^2)*(Dc_VIN_min/((1-Dc_VIN_min)^2))+((ILrip_VINmin^2)/3)))</f>
        <v>22.045032798215118</v>
      </c>
      <c r="C113" t="s">
        <v>6</v>
      </c>
      <c r="D113"/>
      <c r="E113" s="47" t="s">
        <v>443</v>
      </c>
      <c r="F113"/>
      <c r="G113"/>
    </row>
    <row r="114" spans="1:12" s="32" customFormat="1" x14ac:dyDescent="0.25">
      <c r="A114" t="s">
        <v>137</v>
      </c>
      <c r="B114" s="3">
        <f>'Design Converter'!H38*(10^-6)/Np</f>
        <v>4.4999999999999999E-4</v>
      </c>
      <c r="C114" t="s">
        <v>131</v>
      </c>
      <c r="D114"/>
      <c r="E114" t="s">
        <v>135</v>
      </c>
      <c r="F114"/>
      <c r="G114"/>
    </row>
    <row r="115" spans="1:12" s="32" customFormat="1" x14ac:dyDescent="0.25">
      <c r="A115" t="s">
        <v>134</v>
      </c>
      <c r="B115" s="3">
        <f>'Design Converter'!H39/1000</f>
        <v>2E-3</v>
      </c>
      <c r="C115" s="2" t="s">
        <v>29</v>
      </c>
      <c r="D115"/>
      <c r="E115" t="s">
        <v>136</v>
      </c>
      <c r="F115"/>
      <c r="G115"/>
    </row>
    <row r="116" spans="1:12" s="32" customFormat="1" x14ac:dyDescent="0.25">
      <c r="A116" t="s">
        <v>236</v>
      </c>
      <c r="B116" s="187">
        <f>SQRT((IOUT^2)+(IL_avg_VIN_min^2)-(2*IOUT*IL_avg_VIN_min)-(2*Dc_VIN_min*(IOUT^2))-(Dc_VIN_min*(IL_avg_VIN_min^2))+(2*Dc_VIN_min*IOUT*IL_avg_VIN_min))</f>
        <v>17.04112672331264</v>
      </c>
      <c r="C116"/>
      <c r="D116"/>
      <c r="E116" s="185" t="s">
        <v>237</v>
      </c>
      <c r="F116"/>
      <c r="G116"/>
    </row>
    <row r="117" spans="1:12" s="32" customFormat="1" x14ac:dyDescent="0.25"/>
    <row r="118" spans="1:12" s="32" customFormat="1" x14ac:dyDescent="0.25">
      <c r="A118" s="43" t="s">
        <v>531</v>
      </c>
    </row>
    <row r="119" spans="1:12" s="32" customFormat="1" x14ac:dyDescent="0.25">
      <c r="A119" s="43"/>
    </row>
    <row r="120" spans="1:12" x14ac:dyDescent="0.25">
      <c r="A120" s="32" t="s">
        <v>521</v>
      </c>
      <c r="B120" s="41">
        <f>'Design Converter'!H47</f>
        <v>26</v>
      </c>
      <c r="C120" s="2" t="s">
        <v>6</v>
      </c>
      <c r="D120" s="32"/>
      <c r="E120" s="32" t="s">
        <v>520</v>
      </c>
      <c r="F120" s="32"/>
      <c r="G120" s="32"/>
      <c r="J120" s="27"/>
      <c r="K120" s="27"/>
      <c r="L120" s="27"/>
    </row>
    <row r="121" spans="1:12" x14ac:dyDescent="0.25">
      <c r="A121" s="32" t="s">
        <v>477</v>
      </c>
      <c r="B121" s="184">
        <f>B120/Np</f>
        <v>13</v>
      </c>
      <c r="C121" s="2" t="s">
        <v>6</v>
      </c>
      <c r="D121" s="32"/>
      <c r="E121" s="32" t="s">
        <v>535</v>
      </c>
      <c r="F121" s="32"/>
      <c r="G121" s="32"/>
      <c r="J121" s="27"/>
      <c r="K121" s="27"/>
      <c r="L121" s="27"/>
    </row>
    <row r="122" spans="1:12" x14ac:dyDescent="0.25">
      <c r="A122" s="32" t="s">
        <v>475</v>
      </c>
      <c r="B122" s="184">
        <f>((B121*R_cs*GIMON)+I_offset)*Np*1000000</f>
        <v>20.987000000000002</v>
      </c>
      <c r="C122" s="2" t="s">
        <v>474</v>
      </c>
      <c r="D122" s="32"/>
      <c r="E122" s="32" t="s">
        <v>536</v>
      </c>
      <c r="F122" s="32"/>
      <c r="G122" s="32"/>
    </row>
    <row r="123" spans="1:12" x14ac:dyDescent="0.25">
      <c r="A123" s="32" t="s">
        <v>476</v>
      </c>
      <c r="B123" s="267">
        <f>V_ILIM/B122*1000</f>
        <v>47.648544336970502</v>
      </c>
      <c r="C123" s="2" t="s">
        <v>145</v>
      </c>
      <c r="D123" s="32"/>
      <c r="E123" s="32" t="s">
        <v>539</v>
      </c>
      <c r="F123" s="32"/>
      <c r="G123" s="32"/>
    </row>
    <row r="124" spans="1:12" s="32" customFormat="1" x14ac:dyDescent="0.25">
      <c r="A124" s="32" t="s">
        <v>526</v>
      </c>
      <c r="B124" s="41">
        <f>'Design Converter'!H49</f>
        <v>47.5</v>
      </c>
      <c r="C124" s="2" t="s">
        <v>145</v>
      </c>
      <c r="E124" s="266" t="s">
        <v>538</v>
      </c>
    </row>
    <row r="125" spans="1:12" s="32" customFormat="1" x14ac:dyDescent="0.25">
      <c r="A125" s="32" t="s">
        <v>725</v>
      </c>
      <c r="B125" s="325">
        <f>MIN(((B121*R_cs*GIMON)+I_offset)*Np*B124*1000,3)</f>
        <v>0.99688250000000012</v>
      </c>
      <c r="C125" s="2" t="s">
        <v>5</v>
      </c>
      <c r="E125" s="266" t="s">
        <v>728</v>
      </c>
    </row>
    <row r="126" spans="1:12" s="32" customFormat="1" x14ac:dyDescent="0.25">
      <c r="A126" s="32" t="s">
        <v>525</v>
      </c>
      <c r="B126" s="267">
        <f>(V_ILIM/B124/1000-I_offset*Np)/GIMON/R_cs</f>
        <v>26.131394552447183</v>
      </c>
      <c r="C126" s="2" t="s">
        <v>6</v>
      </c>
      <c r="E126" s="266"/>
    </row>
    <row r="127" spans="1:12" s="32" customFormat="1" x14ac:dyDescent="0.25">
      <c r="A127" s="32" t="s">
        <v>615</v>
      </c>
      <c r="B127" s="41">
        <f>'Design Converter'!H52</f>
        <v>52</v>
      </c>
      <c r="C127" s="2"/>
      <c r="E127" s="266"/>
    </row>
    <row r="128" spans="1:12" s="32" customFormat="1" x14ac:dyDescent="0.25">
      <c r="A128" s="32" t="s">
        <v>477</v>
      </c>
      <c r="B128" s="184">
        <f>B127/Np</f>
        <v>26</v>
      </c>
      <c r="C128" s="2" t="s">
        <v>6</v>
      </c>
      <c r="E128" s="266"/>
    </row>
    <row r="129" spans="1:5" s="32" customFormat="1" x14ac:dyDescent="0.25">
      <c r="A129" s="32" t="s">
        <v>677</v>
      </c>
      <c r="B129" s="184">
        <f>((B128*R_cs*GIMON)+I_offset)*Np*1000000</f>
        <v>33.974000000000004</v>
      </c>
      <c r="C129" s="2" t="s">
        <v>474</v>
      </c>
      <c r="E129" s="266"/>
    </row>
    <row r="130" spans="1:5" s="32" customFormat="1" x14ac:dyDescent="0.25">
      <c r="A130" s="32" t="s">
        <v>522</v>
      </c>
      <c r="B130" s="41">
        <f>'Design Converter'!H53/1000</f>
        <v>0.1</v>
      </c>
      <c r="C130" s="2" t="s">
        <v>40</v>
      </c>
      <c r="E130" s="266" t="s">
        <v>540</v>
      </c>
    </row>
    <row r="131" spans="1:5" s="32" customFormat="1" x14ac:dyDescent="0.25">
      <c r="A131" s="32" t="s">
        <v>678</v>
      </c>
      <c r="B131" s="314">
        <f>I_offset*B124*Np*1000</f>
        <v>0.37999999999999995</v>
      </c>
      <c r="C131" s="2" t="s">
        <v>5</v>
      </c>
      <c r="E131" s="266"/>
    </row>
    <row r="132" spans="1:5" s="32" customFormat="1" x14ac:dyDescent="0.25">
      <c r="A132" s="32" t="s">
        <v>523</v>
      </c>
      <c r="B132" s="267">
        <f>B130/(B124*1000*LN((B124*B129/1000-B131)/(B124*B129/1000-V_ILIM)))*1000000</f>
        <v>3.015213492602685</v>
      </c>
      <c r="C132" s="2" t="s">
        <v>127</v>
      </c>
      <c r="E132" s="266" t="s">
        <v>541</v>
      </c>
    </row>
    <row r="133" spans="1:5" s="32" customFormat="1" x14ac:dyDescent="0.25">
      <c r="A133" s="32" t="s">
        <v>527</v>
      </c>
      <c r="B133" s="268">
        <f>'Design Converter'!H55</f>
        <v>3.3</v>
      </c>
      <c r="C133" s="2"/>
      <c r="E133" s="266" t="s">
        <v>542</v>
      </c>
    </row>
    <row r="134" spans="1:5" s="32" customFormat="1" x14ac:dyDescent="0.25">
      <c r="A134" s="32" t="s">
        <v>524</v>
      </c>
      <c r="B134" s="267">
        <f>1/6.28/10/B133*1000</f>
        <v>4.8253232966608763</v>
      </c>
      <c r="C134" s="2" t="s">
        <v>145</v>
      </c>
      <c r="E134" s="266" t="s">
        <v>543</v>
      </c>
    </row>
    <row r="135" spans="1:5" s="32" customFormat="1" x14ac:dyDescent="0.25">
      <c r="A135" s="32" t="s">
        <v>680</v>
      </c>
      <c r="B135" s="267">
        <f>(B124*1000*LN((B124*B129/1000-B131)/(B124*B129/1000-V_ILIM)))*B133*0.000001</f>
        <v>0.10944498650248116</v>
      </c>
      <c r="C135" s="2" t="s">
        <v>40</v>
      </c>
      <c r="E135" s="266" t="s">
        <v>685</v>
      </c>
    </row>
    <row r="136" spans="1:5" s="32" customFormat="1" x14ac:dyDescent="0.25">
      <c r="A136" s="32" t="s">
        <v>683</v>
      </c>
      <c r="B136" s="41">
        <f>'Design Converter'!H57</f>
        <v>10</v>
      </c>
      <c r="C136" s="2" t="s">
        <v>146</v>
      </c>
      <c r="E136" s="266" t="s">
        <v>682</v>
      </c>
    </row>
    <row r="137" spans="1:5" s="32" customFormat="1" x14ac:dyDescent="0.25">
      <c r="A137" s="32" t="s">
        <v>681</v>
      </c>
      <c r="B137" s="314">
        <f>B136*2.6/0.000005/1000000000000</f>
        <v>5.2000000000000002E-6</v>
      </c>
      <c r="C137" s="2" t="s">
        <v>40</v>
      </c>
      <c r="E137" s="266" t="s">
        <v>684</v>
      </c>
    </row>
    <row r="138" spans="1:5" s="32" customFormat="1" x14ac:dyDescent="0.25">
      <c r="A138" s="32" t="s">
        <v>597</v>
      </c>
      <c r="B138" s="267">
        <f>(B137+B135)*1000</f>
        <v>109.45018650248116</v>
      </c>
      <c r="C138" s="2" t="s">
        <v>246</v>
      </c>
      <c r="E138" s="266"/>
    </row>
    <row r="139" spans="1:5" s="32" customFormat="1" x14ac:dyDescent="0.25">
      <c r="C139" s="2"/>
      <c r="E139" s="266"/>
    </row>
    <row r="140" spans="1:5" s="32" customFormat="1" x14ac:dyDescent="0.25">
      <c r="A140" s="43" t="s">
        <v>533</v>
      </c>
      <c r="C140" s="2"/>
      <c r="E140" s="266"/>
    </row>
    <row r="141" spans="1:5" s="32" customFormat="1" ht="18" x14ac:dyDescent="0.35">
      <c r="A141" s="32" t="s">
        <v>546</v>
      </c>
      <c r="B141" s="32">
        <f>'Design Converter'!H61</f>
        <v>1800</v>
      </c>
      <c r="C141" s="2" t="s">
        <v>146</v>
      </c>
      <c r="E141" s="266" t="s">
        <v>544</v>
      </c>
    </row>
    <row r="142" spans="1:5" s="32" customFormat="1" ht="18" x14ac:dyDescent="0.35">
      <c r="A142" s="32" t="s">
        <v>547</v>
      </c>
      <c r="B142" s="32">
        <f>'Design Converter'!H62</f>
        <v>11.2</v>
      </c>
      <c r="C142" s="2" t="s">
        <v>29</v>
      </c>
      <c r="E142" s="275" t="s">
        <v>545</v>
      </c>
    </row>
    <row r="143" spans="1:5" s="32" customFormat="1" ht="15.75" x14ac:dyDescent="0.3">
      <c r="A143" s="32" t="s">
        <v>548</v>
      </c>
      <c r="B143" s="32">
        <f>'Design Converter'!H63</f>
        <v>1.1000000000000001</v>
      </c>
      <c r="C143" s="2" t="s">
        <v>5</v>
      </c>
      <c r="E143" s="266" t="s">
        <v>534</v>
      </c>
    </row>
    <row r="144" spans="1:5" s="32" customFormat="1" x14ac:dyDescent="0.25">
      <c r="A144" s="32" t="s">
        <v>549</v>
      </c>
      <c r="B144" s="32">
        <f>-LN(Vgsth/Vcc)*(Rg_int+Rg)*CISS/1000</f>
        <v>33.795330992296584</v>
      </c>
      <c r="C144" s="2" t="s">
        <v>550</v>
      </c>
      <c r="E144" s="266" t="s">
        <v>583</v>
      </c>
    </row>
    <row r="146" spans="1:5" s="32" customFormat="1" x14ac:dyDescent="0.25">
      <c r="A146" s="43" t="s">
        <v>532</v>
      </c>
      <c r="C146" s="2"/>
      <c r="E146" s="266"/>
    </row>
    <row r="147" spans="1:5" s="32" customFormat="1" x14ac:dyDescent="0.25">
      <c r="A147" s="32" t="s">
        <v>650</v>
      </c>
      <c r="B147" s="3">
        <v>3</v>
      </c>
      <c r="C147" s="2"/>
      <c r="E147" s="266"/>
    </row>
    <row r="148" spans="1:5" s="32" customFormat="1" x14ac:dyDescent="0.25">
      <c r="A148" s="32" t="s">
        <v>764</v>
      </c>
      <c r="B148" s="27">
        <f>IF(B147=1,14,IF(B147=2,30,IF(B147=3,50,IF(B147=4,75,IF(B147=5,100,IF(B147=6,125,IF(B147=7,150,200)))))))*0.000000001</f>
        <v>5.0000000000000004E-8</v>
      </c>
      <c r="C148" s="2" t="s">
        <v>40</v>
      </c>
      <c r="E148" s="266"/>
    </row>
    <row r="149" spans="1:5" s="32" customFormat="1" x14ac:dyDescent="0.25">
      <c r="A149" s="266" t="s">
        <v>660</v>
      </c>
      <c r="B149" s="3">
        <v>1</v>
      </c>
      <c r="C149" s="2"/>
      <c r="E149" s="266"/>
    </row>
    <row r="150" spans="1:5" s="32" customFormat="1" x14ac:dyDescent="0.25">
      <c r="A150" s="313" t="s">
        <v>651</v>
      </c>
      <c r="B150" s="27">
        <f>8*(B149-1)+B147</f>
        <v>3</v>
      </c>
      <c r="C150" s="2"/>
      <c r="E150" s="266" t="s">
        <v>561</v>
      </c>
    </row>
    <row r="151" spans="1:5" s="32" customFormat="1" x14ac:dyDescent="0.25">
      <c r="A151" s="266" t="s">
        <v>561</v>
      </c>
      <c r="B151" s="267" t="str">
        <f>INDEX(Lists!B3:B18,Variable_Management!B150,1)</f>
        <v>1.00~1.30</v>
      </c>
      <c r="C151" s="2" t="s">
        <v>145</v>
      </c>
      <c r="E151" s="266"/>
    </row>
    <row r="152" spans="1:5" s="32" customFormat="1" x14ac:dyDescent="0.25">
      <c r="A152" s="32" t="s">
        <v>564</v>
      </c>
      <c r="B152" s="3">
        <v>2</v>
      </c>
      <c r="C152" s="2"/>
      <c r="E152" s="266"/>
    </row>
    <row r="153" spans="1:5" s="32" customFormat="1" x14ac:dyDescent="0.25">
      <c r="A153" s="32" t="s">
        <v>581</v>
      </c>
      <c r="B153" s="27">
        <f>MOD(B152-1,2)</f>
        <v>1</v>
      </c>
      <c r="C153" s="2"/>
      <c r="E153" s="266"/>
    </row>
    <row r="154" spans="1:5" s="32" customFormat="1" x14ac:dyDescent="0.25">
      <c r="A154" s="32" t="s">
        <v>576</v>
      </c>
      <c r="B154" s="3">
        <v>2</v>
      </c>
      <c r="C154" s="2"/>
      <c r="E154" s="266" t="s">
        <v>674</v>
      </c>
    </row>
    <row r="155" spans="1:5" s="32" customFormat="1" x14ac:dyDescent="0.25">
      <c r="A155" s="32" t="s">
        <v>601</v>
      </c>
      <c r="B155" s="3">
        <v>1</v>
      </c>
      <c r="C155" s="2"/>
      <c r="E155" s="266"/>
    </row>
    <row r="156" spans="1:5" s="32" customFormat="1" x14ac:dyDescent="0.25">
      <c r="A156" s="32" t="s">
        <v>580</v>
      </c>
      <c r="B156" s="3">
        <v>1</v>
      </c>
      <c r="C156" s="2"/>
      <c r="E156" s="266"/>
    </row>
    <row r="157" spans="1:5" s="32" customFormat="1" x14ac:dyDescent="0.25">
      <c r="A157" s="266" t="s">
        <v>663</v>
      </c>
      <c r="B157" s="292">
        <f>8*(B154-1)+4*(B155-1)+2*(B156-1)+B153+1</f>
        <v>10</v>
      </c>
      <c r="C157" s="2"/>
      <c r="E157" s="266" t="s">
        <v>565</v>
      </c>
    </row>
    <row r="158" spans="1:5" s="32" customFormat="1" x14ac:dyDescent="0.25">
      <c r="A158" s="32" t="s">
        <v>565</v>
      </c>
      <c r="B158" s="352" t="str">
        <f>INDEX(Lists!B3:B18,Variable_Management!B157,1)</f>
        <v>9.98~11.03</v>
      </c>
      <c r="C158" s="2" t="s">
        <v>145</v>
      </c>
      <c r="E158" s="266"/>
    </row>
    <row r="159" spans="1:5" s="32" customFormat="1" x14ac:dyDescent="0.25">
      <c r="A159" s="32" t="s">
        <v>582</v>
      </c>
      <c r="B159" s="32">
        <f>IF(B152&gt;2,1,0)</f>
        <v>0</v>
      </c>
      <c r="C159" s="2"/>
      <c r="E159" s="266"/>
    </row>
    <row r="160" spans="1:5" s="32" customFormat="1" x14ac:dyDescent="0.25">
      <c r="A160" s="32" t="s">
        <v>669</v>
      </c>
      <c r="B160" s="3">
        <v>1</v>
      </c>
    </row>
    <row r="161" spans="1:8" s="32" customFormat="1" x14ac:dyDescent="0.25">
      <c r="A161" s="32" t="s">
        <v>760</v>
      </c>
      <c r="B161" s="32">
        <f>IF(B7=1,B160,1)</f>
        <v>1</v>
      </c>
      <c r="E161" s="32" t="s">
        <v>761</v>
      </c>
    </row>
    <row r="162" spans="1:8" s="32" customFormat="1" x14ac:dyDescent="0.25">
      <c r="A162" s="32" t="s">
        <v>668</v>
      </c>
      <c r="B162" s="3">
        <v>2</v>
      </c>
      <c r="E162" s="32" t="s">
        <v>762</v>
      </c>
    </row>
    <row r="163" spans="1:8" s="32" customFormat="1" x14ac:dyDescent="0.25">
      <c r="A163" s="32" t="s">
        <v>670</v>
      </c>
      <c r="B163" s="27">
        <f>IF(B161=4,1,B162)</f>
        <v>2</v>
      </c>
      <c r="E163" s="32" t="s">
        <v>763</v>
      </c>
    </row>
    <row r="164" spans="1:8" s="32" customFormat="1" x14ac:dyDescent="0.25">
      <c r="A164" s="266" t="s">
        <v>666</v>
      </c>
      <c r="B164" s="292">
        <f>IF(B161=1,1,IF(B161=2,7,IF(B161=3,9,15)))+4*(B163-1)+B159</f>
        <v>5</v>
      </c>
      <c r="E164" s="266"/>
      <c r="F164" s="336"/>
      <c r="H164" s="342"/>
    </row>
    <row r="165" spans="1:8" s="32" customFormat="1" x14ac:dyDescent="0.25">
      <c r="A165" s="32" t="s">
        <v>570</v>
      </c>
      <c r="B165" s="352" t="str">
        <f>INDEX(Lists!B3:B18,Variable_Management!B164,1)</f>
        <v>2.57~2.84</v>
      </c>
      <c r="C165" s="2" t="s">
        <v>145</v>
      </c>
      <c r="E165" s="266"/>
    </row>
    <row r="166" spans="1:8" s="32" customFormat="1" x14ac:dyDescent="0.25">
      <c r="A166" s="32" t="s">
        <v>574</v>
      </c>
      <c r="B166" s="299" t="str">
        <f>INDEX(Lists!N3:N18,Variable_Management!B164,1)</f>
        <v>ON</v>
      </c>
      <c r="C166" s="2"/>
      <c r="E166" s="266"/>
    </row>
    <row r="167" spans="1:8" s="32" customFormat="1" x14ac:dyDescent="0.25">
      <c r="A167" s="32" t="s">
        <v>590</v>
      </c>
      <c r="B167" s="292" t="str">
        <f>INDEX(Lists!O3:O18,Variable_Management!B164,1)</f>
        <v>OFF</v>
      </c>
    </row>
    <row r="168" spans="1:8" s="32" customFormat="1" x14ac:dyDescent="0.25">
      <c r="A168" s="32" t="s">
        <v>594</v>
      </c>
      <c r="B168" s="292" t="str">
        <f>INDEX(Lists!M3:M18,Variable_Management!B164,1)</f>
        <v>180°</v>
      </c>
    </row>
    <row r="169" spans="1:8" s="32" customFormat="1" x14ac:dyDescent="0.25">
      <c r="A169" s="32" t="s">
        <v>675</v>
      </c>
      <c r="B169" s="111">
        <f>INDEX(Lists!P3:P18,Variable_Management!B164,1)</f>
        <v>0</v>
      </c>
      <c r="E169" s="32" t="s">
        <v>625</v>
      </c>
    </row>
    <row r="170" spans="1:8" s="32" customFormat="1" x14ac:dyDescent="0.25">
      <c r="A170" s="32" t="s">
        <v>671</v>
      </c>
      <c r="B170" s="111" t="str">
        <f>IF(B169=1,IF(B154=1,"ON","OFF"),"OFF")</f>
        <v>OFF</v>
      </c>
    </row>
    <row r="171" spans="1:8" s="32" customFormat="1" x14ac:dyDescent="0.25">
      <c r="A171" s="32" t="s">
        <v>673</v>
      </c>
      <c r="B171" s="111">
        <f>IF(AND(B154=1,B169=0),1,0)</f>
        <v>0</v>
      </c>
    </row>
    <row r="172" spans="1:8" s="32" customFormat="1" x14ac:dyDescent="0.25">
      <c r="A172" s="43" t="s">
        <v>537</v>
      </c>
    </row>
    <row r="173" spans="1:8" s="32" customFormat="1" x14ac:dyDescent="0.25">
      <c r="A173" s="32" t="s">
        <v>481</v>
      </c>
      <c r="B173" s="3">
        <f>'Design Converter'!H78</f>
        <v>7.7</v>
      </c>
      <c r="C173" s="32" t="s">
        <v>5</v>
      </c>
      <c r="E173" s="32" t="s">
        <v>482</v>
      </c>
      <c r="G173" s="47"/>
    </row>
    <row r="174" spans="1:8" s="32" customFormat="1" x14ac:dyDescent="0.25">
      <c r="A174" s="32" t="s">
        <v>483</v>
      </c>
      <c r="B174" s="3">
        <f>'Design Converter'!H79</f>
        <v>5.7</v>
      </c>
      <c r="C174" s="32" t="s">
        <v>5</v>
      </c>
      <c r="E174" s="32" t="s">
        <v>484</v>
      </c>
    </row>
    <row r="175" spans="1:8" s="32" customFormat="1" x14ac:dyDescent="0.25">
      <c r="A175" s="32" t="s">
        <v>485</v>
      </c>
      <c r="B175" s="22">
        <f>UV_rise</f>
        <v>1.1000000000000001</v>
      </c>
      <c r="C175" s="32" t="s">
        <v>5</v>
      </c>
      <c r="E175" s="32" t="s">
        <v>486</v>
      </c>
    </row>
    <row r="176" spans="1:8" s="32" customFormat="1" x14ac:dyDescent="0.25">
      <c r="A176" s="32" t="s">
        <v>487</v>
      </c>
      <c r="B176" s="22">
        <f>UV_fall</f>
        <v>1.075</v>
      </c>
      <c r="C176" s="32" t="s">
        <v>5</v>
      </c>
      <c r="E176" s="32" t="s">
        <v>488</v>
      </c>
    </row>
    <row r="177" spans="1:12" s="32" customFormat="1" x14ac:dyDescent="0.25">
      <c r="A177" s="32" t="s">
        <v>489</v>
      </c>
      <c r="B177" s="22">
        <f>UV_I_hyst</f>
        <v>9.9999999999999991E-6</v>
      </c>
      <c r="C177" s="32" t="s">
        <v>6</v>
      </c>
      <c r="E177" s="32" t="s">
        <v>490</v>
      </c>
      <c r="G177" s="239">
        <f>(Vuvlo_on*0.977)-Vuvlo_off</f>
        <v>1.8228999999999997</v>
      </c>
    </row>
    <row r="178" spans="1:12" s="32" customFormat="1" x14ac:dyDescent="0.25">
      <c r="A178" s="32" t="s">
        <v>491</v>
      </c>
      <c r="B178" s="28">
        <f>(Vuvlo_on-UV_rise/UV_fall*Vuvlo_off)/UV_I_hyst</f>
        <v>186744.18604651166</v>
      </c>
      <c r="C178" s="2" t="s">
        <v>29</v>
      </c>
      <c r="E178" s="32" t="s">
        <v>492</v>
      </c>
      <c r="G178" s="33">
        <f>B176/B175</f>
        <v>0.97727272727272718</v>
      </c>
    </row>
    <row r="179" spans="1:12" s="32" customFormat="1" x14ac:dyDescent="0.25">
      <c r="A179" s="32" t="s">
        <v>528</v>
      </c>
      <c r="B179" s="3">
        <f>'Design Converter'!H81*1000</f>
        <v>180000</v>
      </c>
      <c r="C179" s="2" t="s">
        <v>29</v>
      </c>
      <c r="E179" s="32" t="s">
        <v>493</v>
      </c>
    </row>
    <row r="180" spans="1:12" s="32" customFormat="1" x14ac:dyDescent="0.25">
      <c r="A180" s="32" t="s">
        <v>494</v>
      </c>
      <c r="B180" s="30">
        <f>UV_fall*Ruvlo_top_sel/(Vuvlo_off-UV_fall)</f>
        <v>41837.83783783784</v>
      </c>
      <c r="C180" s="2" t="s">
        <v>29</v>
      </c>
      <c r="E180" s="32" t="s">
        <v>745</v>
      </c>
    </row>
    <row r="181" spans="1:12" s="32" customFormat="1" x14ac:dyDescent="0.25">
      <c r="A181" s="32" t="s">
        <v>529</v>
      </c>
      <c r="B181" s="3">
        <f>'Design Converter'!H83*1000</f>
        <v>42200</v>
      </c>
      <c r="C181" s="2" t="s">
        <v>29</v>
      </c>
    </row>
    <row r="182" spans="1:12" s="32" customFormat="1" x14ac:dyDescent="0.25">
      <c r="A182" s="32" t="s">
        <v>495</v>
      </c>
      <c r="B182" s="28">
        <f>Ruvlo_top_sel*UV_I_hyst+B175/B176*B183</f>
        <v>7.591943127962085</v>
      </c>
      <c r="E182" s="32" t="s">
        <v>496</v>
      </c>
    </row>
    <row r="183" spans="1:12" s="32" customFormat="1" x14ac:dyDescent="0.25">
      <c r="A183" s="32" t="s">
        <v>497</v>
      </c>
      <c r="B183" s="28">
        <f>(Ruvlo_top_sel+Ruvlo_bottom_sel)/Ruvlo_bottom_sel*UV_fall</f>
        <v>5.6603080568720374</v>
      </c>
      <c r="E183" s="32" t="s">
        <v>498</v>
      </c>
      <c r="G183" s="47"/>
    </row>
    <row r="184" spans="1:12" s="32" customFormat="1" x14ac:dyDescent="0.25">
      <c r="E184" s="93"/>
    </row>
    <row r="185" spans="1:12" x14ac:dyDescent="0.25">
      <c r="A185" s="43" t="s">
        <v>478</v>
      </c>
      <c r="B185" s="32"/>
      <c r="C185" s="32"/>
      <c r="D185" s="32"/>
      <c r="E185" s="32"/>
      <c r="F185" s="32"/>
      <c r="G185" s="32"/>
      <c r="I185"/>
    </row>
    <row r="186" spans="1:12" x14ac:dyDescent="0.25">
      <c r="A186" s="32" t="s">
        <v>240</v>
      </c>
      <c r="B186" s="22">
        <f>Iss</f>
        <v>4.9999999999999996E-5</v>
      </c>
      <c r="C186" s="32" t="s">
        <v>6</v>
      </c>
      <c r="D186" s="32"/>
      <c r="E186" s="32" t="s">
        <v>242</v>
      </c>
      <c r="F186" s="32"/>
      <c r="G186" s="32"/>
    </row>
    <row r="187" spans="1:12" s="32" customFormat="1" x14ac:dyDescent="0.25">
      <c r="A187" s="32" t="s">
        <v>243</v>
      </c>
      <c r="B187" s="1">
        <f>Iss*VOUT*Cout/(Vref*IOUT)</f>
        <v>9.2045454545454536E-8</v>
      </c>
      <c r="C187" s="32" t="s">
        <v>131</v>
      </c>
      <c r="E187" s="32" t="s">
        <v>244</v>
      </c>
    </row>
    <row r="188" spans="1:12" s="32" customFormat="1" x14ac:dyDescent="0.25">
      <c r="A188" s="32" t="s">
        <v>245</v>
      </c>
      <c r="B188" s="3">
        <f>'Design Converter'!H89*(10^-3)</f>
        <v>0.01</v>
      </c>
      <c r="C188" s="32" t="s">
        <v>40</v>
      </c>
      <c r="E188" s="32" t="s">
        <v>530</v>
      </c>
      <c r="J188" s="27"/>
      <c r="K188" s="27"/>
      <c r="L188" s="27"/>
    </row>
    <row r="189" spans="1:12" s="32" customFormat="1" x14ac:dyDescent="0.25">
      <c r="A189" s="32" t="s">
        <v>247</v>
      </c>
      <c r="B189" s="1">
        <f>(tss*Iss)/(V_ATRK*(1-(VIN_min/VOUT)))</f>
        <v>4.1666666666666661E-7</v>
      </c>
      <c r="C189" s="32" t="s">
        <v>131</v>
      </c>
      <c r="E189" s="32" t="s">
        <v>248</v>
      </c>
      <c r="J189" s="27"/>
      <c r="K189" s="27"/>
      <c r="L189" s="27"/>
    </row>
    <row r="190" spans="1:12" s="32" customFormat="1" x14ac:dyDescent="0.25">
      <c r="J190" s="27"/>
      <c r="K190" s="27"/>
      <c r="L190" s="27"/>
    </row>
    <row r="191" spans="1:12" s="32" customFormat="1" ht="15.75" customHeight="1" x14ac:dyDescent="0.25">
      <c r="J191" s="27"/>
      <c r="K191" s="27"/>
      <c r="L191" s="27"/>
    </row>
    <row r="192" spans="1:12" s="32" customFormat="1" x14ac:dyDescent="0.25">
      <c r="J192" s="27"/>
      <c r="K192" s="27"/>
      <c r="L192" s="27"/>
    </row>
    <row r="193" spans="1:7" s="32" customFormat="1" x14ac:dyDescent="0.25">
      <c r="A193" s="43" t="s">
        <v>479</v>
      </c>
      <c r="B193"/>
      <c r="C193"/>
      <c r="D193"/>
      <c r="E193"/>
      <c r="F193"/>
      <c r="G193"/>
    </row>
    <row r="194" spans="1:7" s="32" customFormat="1" x14ac:dyDescent="0.25">
      <c r="A194" s="48" t="s">
        <v>161</v>
      </c>
      <c r="B194" s="3">
        <f>'Design Converter'!H93</f>
        <v>14.4</v>
      </c>
      <c r="C194" s="32" t="s">
        <v>5</v>
      </c>
      <c r="E194" s="32" t="s">
        <v>202</v>
      </c>
    </row>
    <row r="195" spans="1:7" s="32" customFormat="1" x14ac:dyDescent="0.25">
      <c r="A195" s="48"/>
      <c r="B195" s="27"/>
    </row>
    <row r="196" spans="1:7" s="32" customFormat="1" x14ac:dyDescent="0.25">
      <c r="A196" s="47" t="s">
        <v>214</v>
      </c>
      <c r="B196"/>
      <c r="C196"/>
      <c r="D196"/>
      <c r="E196"/>
      <c r="F196"/>
      <c r="G196"/>
    </row>
    <row r="197" spans="1:7" s="32" customFormat="1" x14ac:dyDescent="0.25">
      <c r="A197" s="38" t="s">
        <v>445</v>
      </c>
      <c r="B197" s="236">
        <v>30</v>
      </c>
      <c r="C197" s="32" t="s">
        <v>121</v>
      </c>
    </row>
    <row r="198" spans="1:7" s="32" customFormat="1" x14ac:dyDescent="0.25">
      <c r="A198" s="38" t="s">
        <v>446</v>
      </c>
      <c r="B198" s="1">
        <f>VOUT/Kfb</f>
        <v>1.5</v>
      </c>
      <c r="C198" s="32" t="s">
        <v>5</v>
      </c>
      <c r="E198" s="32" t="s">
        <v>447</v>
      </c>
    </row>
    <row r="199" spans="1:7" s="32" customFormat="1" x14ac:dyDescent="0.25">
      <c r="A199" s="32" t="s">
        <v>153</v>
      </c>
      <c r="B199" s="15">
        <v>290000</v>
      </c>
      <c r="C199" s="2" t="s">
        <v>29</v>
      </c>
      <c r="E199" s="32" t="s">
        <v>203</v>
      </c>
    </row>
    <row r="200" spans="1:7" s="32" customFormat="1" x14ac:dyDescent="0.25">
      <c r="A200" t="s">
        <v>154</v>
      </c>
      <c r="B200" s="15">
        <v>10000</v>
      </c>
      <c r="C200" s="2" t="s">
        <v>29</v>
      </c>
      <c r="D200"/>
      <c r="E200" t="s">
        <v>209</v>
      </c>
      <c r="F200"/>
      <c r="G200"/>
    </row>
    <row r="201" spans="1:7" s="32" customFormat="1" x14ac:dyDescent="0.25">
      <c r="A201" t="s">
        <v>210</v>
      </c>
      <c r="B201" s="237">
        <f>VOUT/(RFBB+RFBT)</f>
        <v>1.4999999999999999E-4</v>
      </c>
      <c r="C201" s="2" t="s">
        <v>6</v>
      </c>
      <c r="D201"/>
      <c r="E201"/>
      <c r="F201"/>
      <c r="G201"/>
    </row>
    <row r="202" spans="1:7" s="32" customFormat="1" x14ac:dyDescent="0.25">
      <c r="B202" s="237"/>
      <c r="C202" s="2"/>
    </row>
    <row r="203" spans="1:7" s="32" customFormat="1" x14ac:dyDescent="0.25">
      <c r="B203" s="237"/>
      <c r="C203" s="2"/>
    </row>
    <row r="204" spans="1:7" s="32" customFormat="1" x14ac:dyDescent="0.25">
      <c r="B204" s="27"/>
      <c r="C204" s="2"/>
    </row>
    <row r="205" spans="1:7" s="32" customFormat="1" x14ac:dyDescent="0.25">
      <c r="A205" s="47" t="s">
        <v>215</v>
      </c>
      <c r="E205" s="32" t="s">
        <v>322</v>
      </c>
    </row>
    <row r="206" spans="1:7" s="32" customFormat="1" x14ac:dyDescent="0.25"/>
    <row r="207" spans="1:7" s="32" customFormat="1" x14ac:dyDescent="0.25">
      <c r="A207" s="35" t="s">
        <v>372</v>
      </c>
      <c r="E207" s="32" t="s">
        <v>420</v>
      </c>
    </row>
    <row r="208" spans="1:7" s="32" customFormat="1" x14ac:dyDescent="0.25">
      <c r="A208" s="35"/>
    </row>
    <row r="209" spans="1:5" s="32" customFormat="1" x14ac:dyDescent="0.25">
      <c r="A209" s="32" t="s">
        <v>417</v>
      </c>
      <c r="B209" s="33">
        <f>(R_cs*Acs/(2*Lm*Fsw))*(1-(VIN_min/VOUT))*(VIN_min/VOUT)</f>
        <v>9.0909090909090931E-4</v>
      </c>
      <c r="E209" s="32" t="s">
        <v>413</v>
      </c>
    </row>
    <row r="210" spans="1:5" s="32" customFormat="1" x14ac:dyDescent="0.25">
      <c r="A210" s="32" t="s">
        <v>418</v>
      </c>
      <c r="B210" s="33">
        <f>1/((0.5-(1-(VIN_min/VOUT)))*(R_cs*Acs/(Lm*Fsw))+(Vsl*Acs/VOUT))</f>
        <v>137.78705636743217</v>
      </c>
      <c r="E210" s="32" t="s">
        <v>413</v>
      </c>
    </row>
    <row r="211" spans="1:5" s="32" customFormat="1" x14ac:dyDescent="0.25">
      <c r="A211" s="32" t="s">
        <v>419</v>
      </c>
      <c r="B211" s="33">
        <f>2+((VOUT*((VIN_min/VOUT)^2))/(IOUT*R_cs*Acs))*((1/Km_VINmin)+(Kex_VINmin/(VIN_min/VOUT)))</f>
        <v>2.1287603305785123</v>
      </c>
      <c r="E211" s="32" t="s">
        <v>413</v>
      </c>
    </row>
    <row r="212" spans="1:5" s="32" customFormat="1" x14ac:dyDescent="0.25">
      <c r="A212" s="35"/>
      <c r="B212" s="33"/>
    </row>
    <row r="213" spans="1:5" s="32" customFormat="1" x14ac:dyDescent="0.25">
      <c r="A213" s="35"/>
      <c r="B213" s="33"/>
    </row>
    <row r="214" spans="1:5" s="32" customFormat="1" x14ac:dyDescent="0.25">
      <c r="A214" s="35"/>
      <c r="B214" s="33"/>
    </row>
    <row r="215" spans="1:5" s="32" customFormat="1" x14ac:dyDescent="0.25">
      <c r="A215" s="32" t="s">
        <v>326</v>
      </c>
      <c r="B215" s="33">
        <f>(Gcomp*(VIN_min/VOUT)*(VOUT/IOUT))/(Kd_VINmin*R_cs*Acs/Np)</f>
        <v>51.246214768227354</v>
      </c>
    </row>
    <row r="216" spans="1:5" s="32" customFormat="1" x14ac:dyDescent="0.25">
      <c r="B216" s="33"/>
    </row>
    <row r="217" spans="1:5" s="32" customFormat="1" x14ac:dyDescent="0.25">
      <c r="A217" s="32" t="s">
        <v>327</v>
      </c>
      <c r="B217" s="184">
        <f>Kd_VINmin/(Cout*(VOUT/IOUT))</f>
        <v>1156.3636363636365</v>
      </c>
      <c r="C217" s="32" t="s">
        <v>319</v>
      </c>
      <c r="E217" s="32" t="s">
        <v>318</v>
      </c>
    </row>
    <row r="218" spans="1:5" s="32" customFormat="1" x14ac:dyDescent="0.25">
      <c r="A218" s="32" t="s">
        <v>328</v>
      </c>
      <c r="B218" s="184">
        <f>B217/(2*PI())</f>
        <v>184.04098873899173</v>
      </c>
      <c r="C218" s="32" t="s">
        <v>48</v>
      </c>
      <c r="E218" s="32" t="s">
        <v>211</v>
      </c>
    </row>
    <row r="219" spans="1:5" s="32" customFormat="1" x14ac:dyDescent="0.25">
      <c r="B219" s="184"/>
    </row>
    <row r="220" spans="1:5" s="32" customFormat="1" x14ac:dyDescent="0.25">
      <c r="A220" s="32" t="s">
        <v>329</v>
      </c>
      <c r="B220" s="184">
        <f>1/(Cout*Resr)</f>
        <v>1111111.1111111112</v>
      </c>
      <c r="C220" s="32" t="s">
        <v>320</v>
      </c>
      <c r="E220" s="32" t="s">
        <v>321</v>
      </c>
    </row>
    <row r="221" spans="1:5" s="32" customFormat="1" x14ac:dyDescent="0.25">
      <c r="A221" s="32" t="s">
        <v>330</v>
      </c>
      <c r="B221" s="184">
        <f>B220/(2*PI())</f>
        <v>176838.82565766151</v>
      </c>
      <c r="C221" s="32" t="s">
        <v>48</v>
      </c>
      <c r="E221" s="32" t="s">
        <v>213</v>
      </c>
    </row>
    <row r="222" spans="1:5" s="32" customFormat="1" x14ac:dyDescent="0.25">
      <c r="B222" s="184"/>
    </row>
    <row r="223" spans="1:5" s="32" customFormat="1" x14ac:dyDescent="0.25">
      <c r="A223" s="32" t="s">
        <v>331</v>
      </c>
      <c r="B223" s="184">
        <f>((VOUT/IOUT)*((VIN_min/VOUT)^2))/(Lm)</f>
        <v>49586.776859504142</v>
      </c>
      <c r="E223" s="32" t="s">
        <v>317</v>
      </c>
    </row>
    <row r="224" spans="1:5" s="32" customFormat="1" x14ac:dyDescent="0.25">
      <c r="A224" s="32" t="s">
        <v>332</v>
      </c>
      <c r="B224" s="184">
        <f>B223/(2*PI())</f>
        <v>7891.9806491848949</v>
      </c>
      <c r="C224" s="32" t="s">
        <v>48</v>
      </c>
      <c r="E224" s="32" t="s">
        <v>212</v>
      </c>
    </row>
    <row r="225" spans="1:9" s="32" customFormat="1" x14ac:dyDescent="0.25">
      <c r="B225" s="184">
        <f>Fsw/10</f>
        <v>40000</v>
      </c>
      <c r="C225" s="32" t="s">
        <v>48</v>
      </c>
      <c r="E225" s="32" t="s">
        <v>218</v>
      </c>
    </row>
    <row r="226" spans="1:9" s="32" customFormat="1" x14ac:dyDescent="0.25">
      <c r="B226" s="45">
        <f>IF((B224/5)&lt;(B225),0,1)</f>
        <v>0</v>
      </c>
      <c r="E226" s="32" t="s">
        <v>219</v>
      </c>
    </row>
    <row r="227" spans="1:9" s="32" customFormat="1" x14ac:dyDescent="0.25">
      <c r="B227" s="33"/>
    </row>
    <row r="228" spans="1:9" s="32" customFormat="1" x14ac:dyDescent="0.25">
      <c r="A228" s="32" t="s">
        <v>333</v>
      </c>
      <c r="B228" s="184">
        <f>(Vsl*Fsw)</f>
        <v>19200</v>
      </c>
      <c r="C228" s="32" t="s">
        <v>121</v>
      </c>
      <c r="E228" s="32" t="s">
        <v>421</v>
      </c>
    </row>
    <row r="229" spans="1:9" s="32" customFormat="1" x14ac:dyDescent="0.25">
      <c r="A229" s="32" t="s">
        <v>334</v>
      </c>
      <c r="B229" s="184">
        <f>(R_cs*VIN_min)/Lm</f>
        <v>4090.909090909091</v>
      </c>
      <c r="C229" s="32" t="s">
        <v>121</v>
      </c>
      <c r="E229" s="32" t="s">
        <v>178</v>
      </c>
    </row>
    <row r="230" spans="1:9" s="32" customFormat="1" x14ac:dyDescent="0.25">
      <c r="B230" s="184"/>
    </row>
    <row r="231" spans="1:9" s="32" customFormat="1" x14ac:dyDescent="0.25">
      <c r="A231" s="32" t="s">
        <v>335</v>
      </c>
      <c r="B231" s="184">
        <f>2*PI()*Fsw</f>
        <v>2513274.1228718343</v>
      </c>
      <c r="C231" s="32" t="s">
        <v>180</v>
      </c>
      <c r="E231" s="32" t="s">
        <v>414</v>
      </c>
    </row>
    <row r="232" spans="1:9" s="32" customFormat="1" x14ac:dyDescent="0.25">
      <c r="A232" s="32" t="s">
        <v>336</v>
      </c>
      <c r="B232" s="184">
        <f>1/(PI()*(((VIN_min/VOUT)*(1+(B228/B229)))-0.5))</f>
        <v>0.49839752533996456</v>
      </c>
      <c r="E232" s="32" t="s">
        <v>415</v>
      </c>
    </row>
    <row r="233" spans="1:9" s="32" customFormat="1" x14ac:dyDescent="0.25">
      <c r="B233" s="33"/>
    </row>
    <row r="234" spans="1:9" s="32" customFormat="1" x14ac:dyDescent="0.25">
      <c r="A234" s="32" t="s">
        <v>216</v>
      </c>
      <c r="B234" s="184">
        <f>IF(B226=0,fz_rhp/5,Fsw/10)</f>
        <v>1578.3961298369791</v>
      </c>
      <c r="C234" s="32" t="s">
        <v>48</v>
      </c>
      <c r="E234" s="32" t="s">
        <v>383</v>
      </c>
    </row>
    <row r="235" spans="1:9" x14ac:dyDescent="0.25">
      <c r="A235" s="32"/>
      <c r="B235" s="44">
        <f>fcross</f>
        <v>1600</v>
      </c>
      <c r="C235" s="32" t="s">
        <v>442</v>
      </c>
      <c r="D235" s="32"/>
      <c r="E235" s="32" t="s">
        <v>450</v>
      </c>
      <c r="F235" s="32"/>
      <c r="G235" s="32"/>
      <c r="I235"/>
    </row>
    <row r="236" spans="1:9" x14ac:dyDescent="0.25">
      <c r="A236" s="32" t="s">
        <v>223</v>
      </c>
      <c r="B236" s="70">
        <f>B218</f>
        <v>184.04098873899173</v>
      </c>
      <c r="C236" s="32" t="s">
        <v>48</v>
      </c>
      <c r="D236" s="32"/>
      <c r="E236" s="32" t="s">
        <v>735</v>
      </c>
      <c r="F236" s="32"/>
      <c r="G236" s="32"/>
      <c r="I236"/>
    </row>
    <row r="237" spans="1:9" x14ac:dyDescent="0.25">
      <c r="A237" s="32" t="s">
        <v>225</v>
      </c>
      <c r="B237" s="45">
        <f>MIN(fz_rhp,B221)</f>
        <v>7891.9806491848949</v>
      </c>
      <c r="C237" s="32" t="s">
        <v>48</v>
      </c>
      <c r="D237" s="32"/>
      <c r="E237" s="32" t="s">
        <v>341</v>
      </c>
      <c r="F237" s="32"/>
      <c r="G237" s="32"/>
      <c r="I237"/>
    </row>
    <row r="238" spans="1:9" s="32" customFormat="1" x14ac:dyDescent="0.25"/>
    <row r="239" spans="1:9" s="32" customFormat="1" x14ac:dyDescent="0.25">
      <c r="A239" s="32" t="s">
        <v>424</v>
      </c>
      <c r="B239" s="33">
        <f>10^(-Loop_Modeling!AG7/20)</f>
        <v>0.33452485555974554</v>
      </c>
    </row>
    <row r="240" spans="1:9" s="32" customFormat="1" x14ac:dyDescent="0.25">
      <c r="A240" s="32" t="s">
        <v>422</v>
      </c>
      <c r="B240" s="33">
        <f>SQRT(1+((B234/fp_ea_est)^2))</f>
        <v>1.019803902718557</v>
      </c>
    </row>
    <row r="241" spans="1:7" s="32" customFormat="1" x14ac:dyDescent="0.25">
      <c r="A241" s="32" t="s">
        <v>423</v>
      </c>
      <c r="B241" s="33">
        <f>SQRT(1+(fz_ea_est/B234)^2)</f>
        <v>1.0067748308335882</v>
      </c>
    </row>
    <row r="242" spans="1:7" s="32" customFormat="1" x14ac:dyDescent="0.25"/>
    <row r="243" spans="1:7" s="32" customFormat="1" x14ac:dyDescent="0.25">
      <c r="A243" s="32" t="s">
        <v>391</v>
      </c>
      <c r="B243" s="29">
        <f>2*PI()*fcross*Cout*Acs*R_cs*(6.28*Constants!$B$61*Constants!$B$62*fcross+2)/((6.28*Constants!$B$61*Constants!$B$62*fcross+1))*B197/((1-B25)*gm_ea)</f>
        <v>19964.223071437813</v>
      </c>
      <c r="C243" s="2" t="s">
        <v>29</v>
      </c>
      <c r="E243" s="336" t="s">
        <v>751</v>
      </c>
    </row>
    <row r="244" spans="1:7" s="32" customFormat="1" x14ac:dyDescent="0.25">
      <c r="A244" s="32" t="s">
        <v>392</v>
      </c>
      <c r="B244" s="171">
        <f>1/(2*PI()*fz_ea_est*Rcomp_calc_CCM)</f>
        <v>4.3316480241650363E-8</v>
      </c>
      <c r="C244" s="2" t="s">
        <v>131</v>
      </c>
    </row>
    <row r="245" spans="1:7" s="32" customFormat="1" x14ac:dyDescent="0.25">
      <c r="A245" s="32" t="s">
        <v>393</v>
      </c>
      <c r="B245" s="171">
        <f>1/Rcomp_calc_CCM/(2*PI()*fp_ea_est)</f>
        <v>1.0101403192352866E-9</v>
      </c>
      <c r="C245" s="32" t="s">
        <v>131</v>
      </c>
    </row>
    <row r="246" spans="1:7" s="32" customFormat="1" x14ac:dyDescent="0.25">
      <c r="A246"/>
      <c r="B246"/>
      <c r="C246"/>
      <c r="D246"/>
      <c r="E246"/>
      <c r="F246"/>
      <c r="G246"/>
    </row>
    <row r="247" spans="1:7" s="32" customFormat="1" x14ac:dyDescent="0.25">
      <c r="A247"/>
      <c r="B247"/>
      <c r="C247"/>
      <c r="D247"/>
      <c r="E247"/>
      <c r="F247"/>
      <c r="G247"/>
    </row>
    <row r="248" spans="1:7" s="32" customFormat="1" x14ac:dyDescent="0.25">
      <c r="A248" s="35" t="s">
        <v>373</v>
      </c>
      <c r="B248"/>
      <c r="C248"/>
      <c r="D248"/>
      <c r="E248" s="47"/>
      <c r="F248"/>
      <c r="G248"/>
    </row>
    <row r="249" spans="1:7" s="32" customFormat="1" x14ac:dyDescent="0.25"/>
    <row r="250" spans="1:7" s="32" customFormat="1" x14ac:dyDescent="0.25">
      <c r="A250" s="32" t="s">
        <v>378</v>
      </c>
      <c r="B250" s="32">
        <f>Fsw/((R_cs*Acs*(VIN_min/Lm))+Vsl)</f>
        <v>9.7777663051986448</v>
      </c>
      <c r="C250" s="32" t="s">
        <v>121</v>
      </c>
      <c r="E250" s="32" t="s">
        <v>397</v>
      </c>
    </row>
    <row r="251" spans="1:7" s="32" customFormat="1" x14ac:dyDescent="0.25">
      <c r="A251" s="32" t="s">
        <v>377</v>
      </c>
      <c r="B251" s="32">
        <f>(B250*2*VOUT/Dc_VIN_min)*(((VOUT/VIN_min)-1)/((2*VOUT/VIN_min)-1))</f>
        <v>488.8883152599322</v>
      </c>
      <c r="C251" s="32" t="s">
        <v>121</v>
      </c>
    </row>
    <row r="252" spans="1:7" s="32" customFormat="1" x14ac:dyDescent="0.25">
      <c r="A252" s="32" t="s">
        <v>379</v>
      </c>
      <c r="B252" s="32">
        <f>(IOUT*((2*VOUT)-VIN_min))/(Cout*VOUT*(VOUT-VIN_min))</f>
        <v>1222.2222222222222</v>
      </c>
      <c r="C252" s="32" t="s">
        <v>319</v>
      </c>
    </row>
    <row r="253" spans="1:7" s="32" customFormat="1" x14ac:dyDescent="0.25">
      <c r="B253" s="32">
        <f>B252/(2*PI())</f>
        <v>194.52270822342763</v>
      </c>
      <c r="C253" s="32" t="s">
        <v>48</v>
      </c>
    </row>
    <row r="254" spans="1:7" s="32" customFormat="1" x14ac:dyDescent="0.25">
      <c r="A254" s="32" t="s">
        <v>380</v>
      </c>
      <c r="B254" s="32">
        <f>1/(Cout*Resr)</f>
        <v>1111111.1111111112</v>
      </c>
      <c r="C254" s="32" t="s">
        <v>319</v>
      </c>
    </row>
    <row r="255" spans="1:7" s="32" customFormat="1" x14ac:dyDescent="0.25">
      <c r="B255" s="32">
        <f>B254/(2*PI())</f>
        <v>176838.82565766151</v>
      </c>
      <c r="C255" s="32" t="s">
        <v>48</v>
      </c>
    </row>
    <row r="256" spans="1:7" s="32" customFormat="1" x14ac:dyDescent="0.25">
      <c r="A256" s="32" t="s">
        <v>381</v>
      </c>
      <c r="B256" s="32">
        <f>2*Fsw/(Dc_VIN_min)</f>
        <v>1000000</v>
      </c>
      <c r="C256" s="32" t="s">
        <v>319</v>
      </c>
      <c r="E256" s="32" t="s">
        <v>396</v>
      </c>
    </row>
    <row r="257" spans="1:5" s="32" customFormat="1" x14ac:dyDescent="0.25">
      <c r="B257" s="32">
        <f>B256/(2*PI())</f>
        <v>159154.94309189534</v>
      </c>
      <c r="C257" s="32" t="s">
        <v>48</v>
      </c>
    </row>
    <row r="258" spans="1:5" s="32" customFormat="1" x14ac:dyDescent="0.25"/>
    <row r="259" spans="1:5" s="32" customFormat="1" x14ac:dyDescent="0.25">
      <c r="A259" s="32" t="s">
        <v>382</v>
      </c>
      <c r="B259" s="32">
        <f>IF(2*Fsw/(2*PI()*Dc_VIN_min*5)&lt;Fsw/10,2*Fsw/(2*PI()*Dc_VIN_min*5),Fsw/10)</f>
        <v>31830.98861837907</v>
      </c>
      <c r="C259" s="32" t="s">
        <v>48</v>
      </c>
      <c r="E259" s="32" t="s">
        <v>449</v>
      </c>
    </row>
    <row r="260" spans="1:5" s="32" customFormat="1" x14ac:dyDescent="0.25">
      <c r="B260" s="44">
        <f>fcross</f>
        <v>1600</v>
      </c>
      <c r="C260" s="32" t="s">
        <v>442</v>
      </c>
      <c r="E260" s="32" t="s">
        <v>450</v>
      </c>
    </row>
    <row r="261" spans="1:5" s="32" customFormat="1" ht="16.5" customHeight="1" x14ac:dyDescent="0.25">
      <c r="A261" s="32" t="s">
        <v>223</v>
      </c>
      <c r="B261" s="70">
        <f>SQRT(B253*fcross)</f>
        <v>557.88559145893362</v>
      </c>
      <c r="C261" s="32" t="s">
        <v>48</v>
      </c>
    </row>
    <row r="262" spans="1:5" s="32" customFormat="1" ht="16.5" customHeight="1" x14ac:dyDescent="0.25">
      <c r="A262" s="32" t="s">
        <v>225</v>
      </c>
      <c r="B262" s="45">
        <f>Fsw/2</f>
        <v>200000</v>
      </c>
      <c r="C262" s="32" t="s">
        <v>48</v>
      </c>
    </row>
    <row r="263" spans="1:5" s="32" customFormat="1" x14ac:dyDescent="0.25"/>
    <row r="264" spans="1:5" s="32" customFormat="1" x14ac:dyDescent="0.25">
      <c r="A264" s="32" t="s">
        <v>424</v>
      </c>
      <c r="B264" s="33">
        <f>10^(-Loop_Modeling!AT7/20)</f>
        <v>7.0248558292129143E-2</v>
      </c>
    </row>
    <row r="265" spans="1:5" s="32" customFormat="1" x14ac:dyDescent="0.25">
      <c r="A265" s="32" t="s">
        <v>422</v>
      </c>
      <c r="B265" s="33">
        <f>SQRT(1+((fcross/B262)^2))</f>
        <v>1.0000319994880165</v>
      </c>
    </row>
    <row r="266" spans="1:5" s="32" customFormat="1" x14ac:dyDescent="0.25">
      <c r="A266" s="32" t="s">
        <v>423</v>
      </c>
      <c r="B266" s="33">
        <f>SQRT(1+(B261/fcross)^2)</f>
        <v>1.0590451796970903</v>
      </c>
    </row>
    <row r="267" spans="1:5" s="32" customFormat="1" x14ac:dyDescent="0.25"/>
    <row r="268" spans="1:5" s="32" customFormat="1" x14ac:dyDescent="0.25">
      <c r="B268" s="27"/>
    </row>
    <row r="269" spans="1:5" s="32" customFormat="1" x14ac:dyDescent="0.25">
      <c r="A269" s="32" t="s">
        <v>385</v>
      </c>
      <c r="B269" s="32">
        <f>(B262*B264*Kfb)/((B262-B261)*gm_ea)*(B265/B266)</f>
        <v>1995.5894781694067</v>
      </c>
      <c r="C269" s="32" t="s">
        <v>388</v>
      </c>
      <c r="E269" s="32" t="s">
        <v>222</v>
      </c>
    </row>
    <row r="270" spans="1:5" s="32" customFormat="1" x14ac:dyDescent="0.25">
      <c r="A270" s="32" t="s">
        <v>389</v>
      </c>
      <c r="B270" s="32">
        <f>1/(2*PI()*B261*RCOMP_CALC_DCM)</f>
        <v>1.4295645865251479E-7</v>
      </c>
      <c r="C270" s="32" t="s">
        <v>131</v>
      </c>
      <c r="E270" s="32" t="s">
        <v>386</v>
      </c>
    </row>
    <row r="271" spans="1:5" s="32" customFormat="1" x14ac:dyDescent="0.25">
      <c r="A271" s="32" t="s">
        <v>390</v>
      </c>
      <c r="B271" s="32">
        <f>((gm_ea)/(2*PI()*B262*Kfb))*(B266/B265)</f>
        <v>2.8091146982084861E-11</v>
      </c>
      <c r="C271" s="32" t="s">
        <v>131</v>
      </c>
      <c r="E271" s="32" t="s">
        <v>387</v>
      </c>
    </row>
    <row r="272" spans="1:5" s="32" customFormat="1" x14ac:dyDescent="0.25"/>
    <row r="273" spans="1:9" x14ac:dyDescent="0.25">
      <c r="A273" s="168" t="s">
        <v>384</v>
      </c>
      <c r="B273" s="32"/>
      <c r="C273" s="32"/>
      <c r="D273" s="32"/>
      <c r="E273" s="32"/>
      <c r="F273" s="32"/>
      <c r="G273" s="32"/>
      <c r="I273"/>
    </row>
    <row r="274" spans="1:9" s="32" customFormat="1" x14ac:dyDescent="0.25">
      <c r="B274" s="32">
        <f>IF(B57=0,B259,B234)</f>
        <v>1578.3961298369791</v>
      </c>
      <c r="C274" s="32" t="s">
        <v>48</v>
      </c>
      <c r="E274" s="32" t="s">
        <v>448</v>
      </c>
    </row>
    <row r="275" spans="1:9" s="32" customFormat="1" x14ac:dyDescent="0.25">
      <c r="A275" s="32" t="s">
        <v>216</v>
      </c>
      <c r="B275" s="3">
        <f>'Design Converter'!H105*1000</f>
        <v>1600</v>
      </c>
      <c r="C275" s="32" t="s">
        <v>48</v>
      </c>
      <c r="E275" s="32" t="s">
        <v>217</v>
      </c>
    </row>
    <row r="276" spans="1:9" x14ac:dyDescent="0.25">
      <c r="A276" s="32"/>
      <c r="B276" s="32"/>
      <c r="C276" s="32"/>
      <c r="D276" s="32"/>
      <c r="E276" s="32"/>
      <c r="F276" s="32"/>
      <c r="G276" s="32"/>
      <c r="I276"/>
    </row>
    <row r="277" spans="1:9" x14ac:dyDescent="0.25">
      <c r="A277" s="32" t="s">
        <v>221</v>
      </c>
      <c r="B277" s="32">
        <f>IF(B57=0,RCOMP_CALC_DCM,Rcomp_calc_CCM)</f>
        <v>19964.223071437813</v>
      </c>
      <c r="C277" s="32"/>
      <c r="D277" s="32"/>
      <c r="E277" s="32"/>
      <c r="F277" s="32"/>
      <c r="G277" s="32"/>
      <c r="I277"/>
    </row>
    <row r="278" spans="1:9" x14ac:dyDescent="0.25">
      <c r="A278" t="s">
        <v>144</v>
      </c>
      <c r="B278" s="3">
        <f>'Design Converter'!H108*1000</f>
        <v>20000</v>
      </c>
      <c r="C278" s="2" t="s">
        <v>29</v>
      </c>
      <c r="E278" t="s">
        <v>150</v>
      </c>
      <c r="F278" s="32"/>
      <c r="G278" s="32"/>
      <c r="I278"/>
    </row>
    <row r="279" spans="1:9" s="32" customFormat="1" x14ac:dyDescent="0.25">
      <c r="A279" s="32" t="s">
        <v>224</v>
      </c>
      <c r="B279" s="32">
        <f>IF(B57=0,CCOMP_CALC_DCM,CCOMP_calc_CCM)</f>
        <v>4.3316480241650363E-8</v>
      </c>
    </row>
    <row r="280" spans="1:9" x14ac:dyDescent="0.25">
      <c r="A280" t="s">
        <v>148</v>
      </c>
      <c r="B280" s="3">
        <f>'Design Converter'!H109*(10^-9)</f>
        <v>4.7000000000000004E-8</v>
      </c>
      <c r="C280" t="s">
        <v>131</v>
      </c>
      <c r="E280" t="s">
        <v>151</v>
      </c>
      <c r="F280" s="32"/>
      <c r="G280" s="32"/>
      <c r="I280"/>
    </row>
    <row r="281" spans="1:9" x14ac:dyDescent="0.25">
      <c r="A281" s="32" t="s">
        <v>394</v>
      </c>
      <c r="B281" s="32">
        <f>IF(B57=0,CHF_CALC_DCM,CHF_CALC_CCM)</f>
        <v>1.0101403192352866E-9</v>
      </c>
      <c r="C281" s="32"/>
      <c r="D281" s="32"/>
      <c r="E281" s="32"/>
      <c r="F281" s="32"/>
      <c r="G281" s="32"/>
      <c r="I281"/>
    </row>
    <row r="282" spans="1:9" x14ac:dyDescent="0.25">
      <c r="A282" t="s">
        <v>149</v>
      </c>
      <c r="B282" s="3">
        <f>'Design Converter'!H110*(10^-12)</f>
        <v>1.0000000000000001E-9</v>
      </c>
      <c r="C282" t="s">
        <v>131</v>
      </c>
      <c r="E282" t="s">
        <v>152</v>
      </c>
      <c r="F282" s="32"/>
      <c r="G282" s="32"/>
      <c r="I282"/>
    </row>
    <row r="283" spans="1:9" x14ac:dyDescent="0.25">
      <c r="A283" s="32"/>
      <c r="B283" s="32"/>
      <c r="C283" s="32"/>
      <c r="D283" s="32"/>
      <c r="E283" s="32"/>
      <c r="F283" s="32"/>
      <c r="G283" s="32"/>
      <c r="I283"/>
    </row>
    <row r="284" spans="1:9" x14ac:dyDescent="0.25">
      <c r="A284" s="43" t="s">
        <v>480</v>
      </c>
      <c r="I284"/>
    </row>
    <row r="285" spans="1:9" x14ac:dyDescent="0.25">
      <c r="A285" s="43" t="s">
        <v>272</v>
      </c>
      <c r="B285" s="32"/>
      <c r="C285" s="32"/>
      <c r="D285" s="32"/>
      <c r="E285" s="32"/>
      <c r="F285" s="32"/>
      <c r="G285" s="32"/>
      <c r="I285"/>
    </row>
    <row r="286" spans="1:9" s="32" customFormat="1" x14ac:dyDescent="0.25">
      <c r="A286" s="111" t="s">
        <v>323</v>
      </c>
      <c r="E286" s="32" t="s">
        <v>324</v>
      </c>
      <c r="H286" s="32" t="s">
        <v>292</v>
      </c>
    </row>
    <row r="287" spans="1:9" x14ac:dyDescent="0.25">
      <c r="I287"/>
    </row>
    <row r="289" spans="1:9" s="32" customFormat="1" x14ac:dyDescent="0.25">
      <c r="A289"/>
      <c r="B289"/>
      <c r="C289"/>
      <c r="D289"/>
      <c r="E289"/>
      <c r="F289"/>
      <c r="G289"/>
    </row>
    <row r="290" spans="1:9" s="32" customFormat="1" x14ac:dyDescent="0.25"/>
    <row r="291" spans="1:9" s="32" customFormat="1" x14ac:dyDescent="0.25">
      <c r="A291" s="43" t="s">
        <v>455</v>
      </c>
      <c r="B291"/>
      <c r="C291"/>
      <c r="D291"/>
      <c r="E291"/>
      <c r="F291"/>
      <c r="G291"/>
    </row>
    <row r="292" spans="1:9" ht="15.75" x14ac:dyDescent="0.3">
      <c r="A292" t="s">
        <v>281</v>
      </c>
      <c r="B292" s="3">
        <f>'Design Converter'!H115*(10^-3)</f>
        <v>7.0000000000000001E-3</v>
      </c>
      <c r="C292" s="2" t="s">
        <v>29</v>
      </c>
      <c r="E292" s="99" t="s">
        <v>261</v>
      </c>
      <c r="I292"/>
    </row>
    <row r="293" spans="1:9" ht="15.75" x14ac:dyDescent="0.3">
      <c r="A293" t="s">
        <v>273</v>
      </c>
      <c r="B293" s="3">
        <f>'Design Converter'!H116*(10^-9)</f>
        <v>9.0000000000000012E-9</v>
      </c>
      <c r="C293" t="s">
        <v>131</v>
      </c>
      <c r="E293" s="99" t="s">
        <v>262</v>
      </c>
      <c r="I293"/>
    </row>
    <row r="294" spans="1:9" ht="15.75" x14ac:dyDescent="0.3">
      <c r="A294" t="s">
        <v>275</v>
      </c>
      <c r="B294" s="3">
        <f>'Design Converter'!H117*(10^-9)</f>
        <v>2.0000000000000001E-9</v>
      </c>
      <c r="C294" t="s">
        <v>131</v>
      </c>
      <c r="E294" s="99" t="s">
        <v>263</v>
      </c>
      <c r="I294"/>
    </row>
    <row r="295" spans="1:9" ht="15.75" x14ac:dyDescent="0.3">
      <c r="A295" t="s">
        <v>274</v>
      </c>
      <c r="B295" s="3">
        <f>'Design Converter'!H118*(10^-9)</f>
        <v>4.5000000000000006E-9</v>
      </c>
      <c r="C295" t="s">
        <v>131</v>
      </c>
      <c r="E295" s="99" t="s">
        <v>264</v>
      </c>
      <c r="I295"/>
    </row>
    <row r="296" spans="1:9" ht="15.75" x14ac:dyDescent="0.3">
      <c r="A296" t="s">
        <v>276</v>
      </c>
      <c r="B296" s="3">
        <f>'Design Converter'!H119</f>
        <v>10</v>
      </c>
      <c r="C296" s="2" t="s">
        <v>29</v>
      </c>
      <c r="E296" s="99" t="s">
        <v>265</v>
      </c>
      <c r="I296"/>
    </row>
    <row r="297" spans="1:9" x14ac:dyDescent="0.25">
      <c r="A297" s="32" t="s">
        <v>282</v>
      </c>
      <c r="B297" s="22">
        <v>0.1</v>
      </c>
      <c r="C297" s="2"/>
      <c r="D297" s="32"/>
      <c r="E297" s="99" t="s">
        <v>283</v>
      </c>
      <c r="F297" s="32"/>
      <c r="G297" s="32"/>
      <c r="I297"/>
    </row>
    <row r="298" spans="1:9" ht="15.75" x14ac:dyDescent="0.3">
      <c r="A298" t="s">
        <v>277</v>
      </c>
      <c r="B298" s="209">
        <v>50</v>
      </c>
      <c r="C298" s="2" t="s">
        <v>271</v>
      </c>
      <c r="E298" s="99" t="s">
        <v>266</v>
      </c>
      <c r="I298"/>
    </row>
    <row r="299" spans="1:9" ht="15.75" x14ac:dyDescent="0.3">
      <c r="A299" t="s">
        <v>278</v>
      </c>
      <c r="B299" s="3">
        <f>'Design Converter'!H120</f>
        <v>1.7</v>
      </c>
      <c r="C299" s="2" t="s">
        <v>5</v>
      </c>
      <c r="E299" s="99" t="s">
        <v>267</v>
      </c>
      <c r="I299"/>
    </row>
    <row r="300" spans="1:9" x14ac:dyDescent="0.25">
      <c r="A300" s="32" t="s">
        <v>288</v>
      </c>
      <c r="B300" s="22">
        <f>Vcc</f>
        <v>5</v>
      </c>
      <c r="C300" s="2" t="s">
        <v>5</v>
      </c>
      <c r="D300" s="32"/>
      <c r="E300" s="99" t="s">
        <v>293</v>
      </c>
      <c r="F300" s="32"/>
      <c r="G300" s="32"/>
      <c r="I300"/>
    </row>
    <row r="301" spans="1:9" x14ac:dyDescent="0.25">
      <c r="A301" s="32"/>
      <c r="B301" s="27"/>
      <c r="C301" s="2"/>
      <c r="D301" s="32"/>
      <c r="E301" s="99"/>
      <c r="F301" s="32"/>
      <c r="G301" s="32"/>
      <c r="I301"/>
    </row>
    <row r="302" spans="1:9" x14ac:dyDescent="0.25">
      <c r="A302" s="32"/>
      <c r="B302" s="27"/>
      <c r="C302" s="2"/>
      <c r="D302" s="32"/>
      <c r="E302" s="99"/>
      <c r="F302" s="32"/>
      <c r="G302" s="32"/>
      <c r="I302"/>
    </row>
    <row r="303" spans="1:9" x14ac:dyDescent="0.25">
      <c r="A303" t="s">
        <v>284</v>
      </c>
      <c r="B303" s="40">
        <f>Vth+(((VOUT*IOUT)/VIN_min)/gfs)</f>
        <v>2.8</v>
      </c>
      <c r="C303" s="2" t="s">
        <v>5</v>
      </c>
      <c r="E303" s="99" t="s">
        <v>285</v>
      </c>
      <c r="I303"/>
    </row>
    <row r="304" spans="1:9" x14ac:dyDescent="0.25">
      <c r="A304" t="s">
        <v>294</v>
      </c>
      <c r="B304" s="1">
        <f>(Qgd+(Qgs/2))*((Rgate+B297)/(Vcc-B303))</f>
        <v>1.9511363636363633E-8</v>
      </c>
      <c r="C304" s="2" t="s">
        <v>40</v>
      </c>
      <c r="E304" s="99" t="s">
        <v>286</v>
      </c>
      <c r="I304"/>
    </row>
    <row r="305" spans="1:9" ht="15.75" thickBot="1" x14ac:dyDescent="0.3">
      <c r="A305" t="s">
        <v>295</v>
      </c>
      <c r="B305" s="1">
        <f>(Qgd+(Qgs/2))*((B297+Rgate)/B303)</f>
        <v>1.5330357142857143E-8</v>
      </c>
      <c r="C305" t="s">
        <v>40</v>
      </c>
      <c r="E305" s="100" t="s">
        <v>287</v>
      </c>
      <c r="I305"/>
    </row>
    <row r="306" spans="1:9" x14ac:dyDescent="0.25">
      <c r="I306"/>
    </row>
    <row r="308" spans="1:9" x14ac:dyDescent="0.25">
      <c r="A308" s="43" t="s">
        <v>456</v>
      </c>
      <c r="B308" s="32"/>
      <c r="C308" s="32"/>
      <c r="I308"/>
    </row>
    <row r="309" spans="1:9" s="32" customFormat="1" ht="15.75" x14ac:dyDescent="0.3">
      <c r="A309" s="32" t="s">
        <v>281</v>
      </c>
      <c r="B309" s="3">
        <f>'Design Converter'!H123*(10^-3)</f>
        <v>7.0000000000000001E-3</v>
      </c>
      <c r="C309" s="2" t="s">
        <v>29</v>
      </c>
      <c r="D309"/>
      <c r="E309" s="99" t="s">
        <v>261</v>
      </c>
      <c r="F309"/>
      <c r="G309"/>
    </row>
    <row r="310" spans="1:9" ht="15.75" x14ac:dyDescent="0.3">
      <c r="A310" s="32" t="s">
        <v>273</v>
      </c>
      <c r="B310" s="3">
        <f>'Design Converter'!H124*(10^-9)</f>
        <v>9.0000000000000012E-9</v>
      </c>
      <c r="C310" s="32" t="s">
        <v>131</v>
      </c>
      <c r="E310" s="99" t="s">
        <v>262</v>
      </c>
      <c r="I310"/>
    </row>
    <row r="311" spans="1:9" ht="15.75" x14ac:dyDescent="0.3">
      <c r="A311" s="32" t="s">
        <v>275</v>
      </c>
      <c r="B311" s="3">
        <f>'Design Converter'!H125*(10^-9)</f>
        <v>2.0000000000000001E-9</v>
      </c>
      <c r="C311" s="32" t="s">
        <v>131</v>
      </c>
      <c r="E311" s="99" t="s">
        <v>263</v>
      </c>
      <c r="I311"/>
    </row>
    <row r="312" spans="1:9" ht="15.75" x14ac:dyDescent="0.3">
      <c r="A312" s="32" t="s">
        <v>274</v>
      </c>
      <c r="B312" s="3">
        <f>'Design Converter'!H126*(10^-9)</f>
        <v>4.5000000000000006E-9</v>
      </c>
      <c r="C312" s="32" t="s">
        <v>131</v>
      </c>
      <c r="E312" s="99" t="s">
        <v>264</v>
      </c>
      <c r="I312"/>
    </row>
    <row r="313" spans="1:9" ht="15.75" x14ac:dyDescent="0.3">
      <c r="A313" s="32" t="s">
        <v>276</v>
      </c>
      <c r="B313" s="3">
        <f>'Design Converter'!H127</f>
        <v>2</v>
      </c>
      <c r="C313" s="2" t="s">
        <v>29</v>
      </c>
      <c r="E313" s="99" t="s">
        <v>265</v>
      </c>
      <c r="I313"/>
    </row>
    <row r="314" spans="1:9" x14ac:dyDescent="0.25">
      <c r="A314" s="32" t="s">
        <v>282</v>
      </c>
      <c r="B314" s="22">
        <v>0.1</v>
      </c>
      <c r="C314" s="2"/>
      <c r="E314" s="99" t="s">
        <v>283</v>
      </c>
      <c r="I314"/>
    </row>
    <row r="315" spans="1:9" ht="15.75" x14ac:dyDescent="0.3">
      <c r="A315" s="32" t="s">
        <v>277</v>
      </c>
      <c r="B315" s="209">
        <v>50</v>
      </c>
      <c r="C315" s="2" t="s">
        <v>271</v>
      </c>
      <c r="E315" s="99" t="s">
        <v>266</v>
      </c>
      <c r="I315"/>
    </row>
    <row r="316" spans="1:9" ht="15.75" x14ac:dyDescent="0.3">
      <c r="A316" s="32" t="s">
        <v>278</v>
      </c>
      <c r="B316" s="3">
        <f>'Design Converter'!H128</f>
        <v>1.7</v>
      </c>
      <c r="C316" s="2" t="s">
        <v>5</v>
      </c>
      <c r="E316" s="99" t="s">
        <v>267</v>
      </c>
      <c r="I316"/>
    </row>
    <row r="317" spans="1:9" x14ac:dyDescent="0.25">
      <c r="A317" s="32" t="s">
        <v>288</v>
      </c>
      <c r="B317" s="22">
        <f>Vcc</f>
        <v>5</v>
      </c>
      <c r="C317" s="2" t="s">
        <v>5</v>
      </c>
      <c r="E317" s="99" t="s">
        <v>293</v>
      </c>
      <c r="I317"/>
    </row>
    <row r="318" spans="1:9" x14ac:dyDescent="0.25">
      <c r="A318" t="s">
        <v>280</v>
      </c>
      <c r="B318" s="3">
        <f>'Design Converter'!H129*10^-9</f>
        <v>1.9000000000000001E-8</v>
      </c>
      <c r="C318" t="s">
        <v>279</v>
      </c>
      <c r="E318" t="s">
        <v>457</v>
      </c>
      <c r="I318"/>
    </row>
    <row r="319" spans="1:9" x14ac:dyDescent="0.25">
      <c r="A319" t="s">
        <v>255</v>
      </c>
      <c r="B319" s="3">
        <f>'Design Converter'!H130</f>
        <v>0.85</v>
      </c>
      <c r="C319" t="s">
        <v>5</v>
      </c>
      <c r="E319" t="s">
        <v>458</v>
      </c>
      <c r="I319"/>
    </row>
    <row r="320" spans="1:9" x14ac:dyDescent="0.25">
      <c r="A320" s="32"/>
      <c r="B320" s="27"/>
      <c r="C320" s="2"/>
      <c r="D320" s="32"/>
      <c r="E320" s="99"/>
      <c r="F320" s="32"/>
      <c r="G320" s="32"/>
      <c r="I320"/>
    </row>
    <row r="321" spans="1:9" x14ac:dyDescent="0.25">
      <c r="A321" s="32" t="s">
        <v>284</v>
      </c>
      <c r="B321" s="40">
        <f>Vth+(((VOUT*IOUT)/VIN_min)/B315)</f>
        <v>2.8</v>
      </c>
      <c r="C321" s="2" t="s">
        <v>5</v>
      </c>
      <c r="E321" s="99" t="s">
        <v>285</v>
      </c>
      <c r="I321"/>
    </row>
    <row r="322" spans="1:9" x14ac:dyDescent="0.25">
      <c r="A322" s="32" t="s">
        <v>294</v>
      </c>
      <c r="B322" s="1">
        <f>(B311+(B312/2))*((B313+B314)/(Vcc-B321))</f>
        <v>4.0568181818181817E-9</v>
      </c>
      <c r="C322" s="2" t="s">
        <v>40</v>
      </c>
      <c r="E322" s="99" t="s">
        <v>286</v>
      </c>
      <c r="I322"/>
    </row>
    <row r="323" spans="1:9" ht="15.75" thickBot="1" x14ac:dyDescent="0.3">
      <c r="A323" s="32" t="s">
        <v>295</v>
      </c>
      <c r="B323" s="1">
        <f>(Qgd+(Qgs/2))*((B314+Rgate)/B321)</f>
        <v>1.5330357142857143E-8</v>
      </c>
      <c r="C323" s="32" t="s">
        <v>40</v>
      </c>
      <c r="E323" s="100" t="s">
        <v>287</v>
      </c>
      <c r="I323"/>
    </row>
    <row r="324" spans="1:9" x14ac:dyDescent="0.25">
      <c r="I324"/>
    </row>
  </sheetData>
  <mergeCells count="2">
    <mergeCell ref="A1:J1"/>
    <mergeCell ref="E5:H5"/>
  </mergeCells>
  <pageMargins left="0.7" right="0.7" top="0.75" bottom="0.75" header="0.3" footer="0.3"/>
  <pageSetup orientation="portrait" r:id="rId1"/>
  <ignoredErrors>
    <ignoredError sqref="B254 B256" formula="1"/>
  </ignoredErrors>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600075</xdr:colOff>
                <xdr:row>108</xdr:row>
                <xdr:rowOff>152400</xdr:rowOff>
              </from>
              <to>
                <xdr:col>11</xdr:col>
                <xdr:colOff>209550</xdr:colOff>
                <xdr:row>110</xdr:row>
                <xdr:rowOff>180975</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P708"/>
  <sheetViews>
    <sheetView zoomScaleNormal="100" workbookViewId="0">
      <selection activeCell="B71" sqref="B71"/>
    </sheetView>
  </sheetViews>
  <sheetFormatPr defaultRowHeight="15" x14ac:dyDescent="0.25"/>
  <cols>
    <col min="1" max="1" width="18.7109375" customWidth="1"/>
    <col min="2" max="2" width="25" customWidth="1"/>
    <col min="8" max="9" width="8.7109375" style="32"/>
    <col min="10" max="10" width="12.7109375" style="32" bestFit="1" customWidth="1"/>
    <col min="14" max="14" width="17.85546875" customWidth="1"/>
    <col min="15" max="15" width="16.5703125" style="51" bestFit="1" customWidth="1"/>
    <col min="16" max="16" width="16.5703125" customWidth="1"/>
    <col min="29" max="31" width="9.140625" style="32"/>
    <col min="32" max="32" width="8.7109375" style="32"/>
    <col min="35" max="40" width="8.7109375" style="32"/>
    <col min="41" max="41" width="11.28515625" style="32" bestFit="1" customWidth="1"/>
    <col min="42" max="43" width="8.7109375" style="32"/>
    <col min="44" max="44" width="13.28515625" style="32" bestFit="1" customWidth="1"/>
    <col min="45" max="47" width="8.7109375" style="32"/>
    <col min="49" max="49" width="10.28515625" customWidth="1"/>
    <col min="50" max="50" width="12" bestFit="1" customWidth="1"/>
    <col min="58" max="58" width="8.7109375" style="32"/>
    <col min="61" max="61" width="8.7109375" style="32"/>
  </cols>
  <sheetData>
    <row r="1" spans="1:68" s="32" customFormat="1" ht="27.75" x14ac:dyDescent="0.4">
      <c r="A1" s="365" t="s">
        <v>9</v>
      </c>
      <c r="B1" s="365"/>
      <c r="C1" s="365"/>
      <c r="D1" s="365"/>
      <c r="E1" s="365"/>
      <c r="F1" s="365"/>
      <c r="G1" s="365"/>
      <c r="H1" s="365"/>
      <c r="I1" s="365"/>
      <c r="J1" s="365"/>
      <c r="K1" s="365"/>
      <c r="L1" s="365"/>
      <c r="M1" s="365"/>
      <c r="N1" s="365" t="s">
        <v>158</v>
      </c>
      <c r="O1" s="365"/>
      <c r="P1" s="365"/>
      <c r="Q1" s="365"/>
      <c r="R1" s="365"/>
      <c r="S1" s="365"/>
      <c r="T1" s="365"/>
      <c r="U1" s="365"/>
      <c r="V1" s="365"/>
      <c r="W1" s="365"/>
      <c r="X1" s="365"/>
    </row>
    <row r="2" spans="1:68" s="32" customFormat="1" x14ac:dyDescent="0.25">
      <c r="A2" s="12"/>
      <c r="B2" s="12" t="s">
        <v>10</v>
      </c>
      <c r="C2" s="13"/>
      <c r="D2" s="18"/>
      <c r="E2" s="12"/>
      <c r="F2" s="12"/>
      <c r="G2" s="12"/>
      <c r="H2" s="12"/>
      <c r="I2" s="12"/>
      <c r="J2" s="12"/>
      <c r="K2" s="12"/>
      <c r="L2" s="12"/>
      <c r="M2" s="12"/>
    </row>
    <row r="3" spans="1:68" s="32" customFormat="1" ht="15.75" thickBot="1" x14ac:dyDescent="0.3">
      <c r="A3" s="12"/>
      <c r="B3" s="12" t="s">
        <v>11</v>
      </c>
      <c r="C3" s="14"/>
      <c r="D3" s="18"/>
      <c r="E3" s="12"/>
      <c r="F3" s="24"/>
      <c r="G3" s="25"/>
      <c r="H3" s="25"/>
      <c r="I3" s="25"/>
      <c r="J3" s="25"/>
      <c r="K3" s="39"/>
      <c r="L3" s="12"/>
      <c r="M3" s="12"/>
      <c r="O3" s="32" t="s">
        <v>399</v>
      </c>
    </row>
    <row r="4" spans="1:68" s="32" customFormat="1" ht="15.75" thickBot="1" x14ac:dyDescent="0.3">
      <c r="A4" s="12"/>
      <c r="B4" s="12" t="s">
        <v>12</v>
      </c>
      <c r="C4" s="15"/>
      <c r="D4" s="18"/>
      <c r="E4" s="12"/>
      <c r="F4" s="24"/>
      <c r="G4" s="25"/>
      <c r="H4" s="25"/>
      <c r="I4" s="25"/>
      <c r="J4" s="25"/>
      <c r="K4" s="39"/>
      <c r="L4" s="12"/>
      <c r="M4" s="12"/>
      <c r="N4" s="196"/>
      <c r="O4" s="88"/>
      <c r="P4" s="371" t="s">
        <v>374</v>
      </c>
      <c r="Q4" s="371"/>
      <c r="R4" s="371"/>
      <c r="S4" s="371"/>
      <c r="T4" s="371"/>
      <c r="U4" s="371"/>
      <c r="V4" s="371"/>
      <c r="W4" s="371"/>
      <c r="X4" s="371"/>
      <c r="Y4" s="371"/>
      <c r="Z4" s="371"/>
      <c r="AA4" s="371"/>
      <c r="AB4" s="371"/>
      <c r="AC4" s="371"/>
      <c r="AD4" s="371"/>
      <c r="AE4" s="371"/>
      <c r="AF4" s="371"/>
      <c r="AG4" s="371"/>
      <c r="AH4" s="372"/>
      <c r="AI4" s="375" t="s">
        <v>451</v>
      </c>
      <c r="AJ4" s="371"/>
      <c r="AK4" s="371"/>
      <c r="AL4" s="371"/>
      <c r="AM4" s="371"/>
      <c r="AN4" s="371"/>
      <c r="AO4" s="371"/>
      <c r="AP4" s="371"/>
      <c r="AQ4" s="371"/>
      <c r="AR4" s="371"/>
      <c r="AS4" s="371"/>
      <c r="AT4" s="371"/>
      <c r="AU4" s="372"/>
      <c r="AV4" s="375" t="s">
        <v>189</v>
      </c>
      <c r="AW4" s="371"/>
      <c r="AX4" s="371"/>
      <c r="AY4" s="371"/>
      <c r="AZ4" s="371"/>
      <c r="BA4" s="371"/>
      <c r="BB4" s="371"/>
      <c r="BC4" s="371"/>
      <c r="BD4" s="371"/>
      <c r="BE4" s="371"/>
      <c r="BF4" s="371"/>
      <c r="BG4" s="371"/>
      <c r="BH4" s="372"/>
      <c r="BI4" s="375" t="s">
        <v>402</v>
      </c>
      <c r="BJ4" s="371"/>
      <c r="BK4" s="372"/>
      <c r="BL4" s="375" t="s">
        <v>403</v>
      </c>
      <c r="BM4" s="371"/>
      <c r="BN4" s="372"/>
      <c r="BO4" s="379" t="s">
        <v>404</v>
      </c>
      <c r="BP4" s="380"/>
    </row>
    <row r="5" spans="1:68" s="32" customFormat="1" ht="15.75" thickBot="1" x14ac:dyDescent="0.3">
      <c r="A5" s="12"/>
      <c r="D5" s="18"/>
      <c r="E5" s="12"/>
      <c r="F5" s="12"/>
      <c r="G5" s="12"/>
      <c r="H5" s="12"/>
      <c r="I5" s="12"/>
      <c r="J5" s="12"/>
      <c r="K5" s="12"/>
      <c r="L5" s="12"/>
      <c r="M5" s="12"/>
      <c r="N5" s="197"/>
      <c r="O5" s="61"/>
      <c r="P5" s="50"/>
      <c r="Q5" s="370" t="s">
        <v>181</v>
      </c>
      <c r="R5" s="370"/>
      <c r="S5" s="370"/>
      <c r="T5" s="368" t="s">
        <v>183</v>
      </c>
      <c r="U5" s="368"/>
      <c r="V5" s="368"/>
      <c r="W5" s="368" t="s">
        <v>183</v>
      </c>
      <c r="X5" s="368"/>
      <c r="Y5" s="368"/>
      <c r="Z5" s="368" t="s">
        <v>186</v>
      </c>
      <c r="AA5" s="368"/>
      <c r="AB5" s="368"/>
      <c r="AC5" s="381" t="s">
        <v>748</v>
      </c>
      <c r="AD5" s="381"/>
      <c r="AE5" s="382"/>
      <c r="AF5" s="367" t="s">
        <v>188</v>
      </c>
      <c r="AG5" s="368"/>
      <c r="AH5" s="369"/>
      <c r="AI5" s="169"/>
      <c r="AJ5" s="370" t="s">
        <v>181</v>
      </c>
      <c r="AK5" s="370"/>
      <c r="AL5" s="370"/>
      <c r="AM5" s="376" t="s">
        <v>183</v>
      </c>
      <c r="AN5" s="376"/>
      <c r="AO5" s="376"/>
      <c r="AP5" s="368" t="s">
        <v>220</v>
      </c>
      <c r="AQ5" s="368"/>
      <c r="AR5" s="368"/>
      <c r="AS5" s="377" t="s">
        <v>188</v>
      </c>
      <c r="AT5" s="376"/>
      <c r="AU5" s="378"/>
      <c r="AV5" s="50"/>
      <c r="AW5" s="368" t="s">
        <v>195</v>
      </c>
      <c r="AX5" s="368"/>
      <c r="AY5" s="368"/>
      <c r="AZ5" s="368" t="s">
        <v>196</v>
      </c>
      <c r="BA5" s="368"/>
      <c r="BB5" s="368"/>
      <c r="BC5" s="368" t="s">
        <v>190</v>
      </c>
      <c r="BD5" s="368"/>
      <c r="BE5" s="368"/>
      <c r="BF5" s="367" t="s">
        <v>188</v>
      </c>
      <c r="BG5" s="368"/>
      <c r="BH5" s="369"/>
      <c r="BI5" s="367" t="s">
        <v>188</v>
      </c>
      <c r="BJ5" s="368"/>
      <c r="BK5" s="369"/>
      <c r="BL5" s="367" t="s">
        <v>188</v>
      </c>
      <c r="BM5" s="368"/>
      <c r="BN5" s="369"/>
      <c r="BO5" s="367" t="s">
        <v>188</v>
      </c>
      <c r="BP5" s="369"/>
    </row>
    <row r="6" spans="1:68" s="32" customFormat="1" ht="15.75" thickBot="1" x14ac:dyDescent="0.3">
      <c r="A6" s="11" t="s">
        <v>13</v>
      </c>
      <c r="B6" s="11" t="s">
        <v>14</v>
      </c>
      <c r="C6" s="11" t="s">
        <v>15</v>
      </c>
      <c r="D6" s="18"/>
      <c r="E6" s="366" t="s">
        <v>16</v>
      </c>
      <c r="F6" s="366"/>
      <c r="G6" s="366"/>
      <c r="H6" s="366"/>
      <c r="I6" s="366"/>
      <c r="J6" s="366"/>
      <c r="K6" s="366"/>
      <c r="L6" s="36"/>
      <c r="M6" s="26"/>
      <c r="N6" s="197"/>
      <c r="O6" s="61"/>
      <c r="P6" s="86" t="s">
        <v>164</v>
      </c>
      <c r="Q6" s="83" t="s">
        <v>187</v>
      </c>
      <c r="R6" s="85" t="s">
        <v>184</v>
      </c>
      <c r="S6" s="85" t="s">
        <v>185</v>
      </c>
      <c r="T6" s="85" t="s">
        <v>187</v>
      </c>
      <c r="U6" s="85" t="s">
        <v>184</v>
      </c>
      <c r="V6" s="85" t="s">
        <v>185</v>
      </c>
      <c r="W6" s="200" t="s">
        <v>187</v>
      </c>
      <c r="X6" s="85" t="s">
        <v>184</v>
      </c>
      <c r="Y6" s="85" t="s">
        <v>185</v>
      </c>
      <c r="Z6" s="200" t="s">
        <v>187</v>
      </c>
      <c r="AA6" s="200" t="s">
        <v>184</v>
      </c>
      <c r="AB6" s="200" t="s">
        <v>185</v>
      </c>
      <c r="AC6" s="57" t="s">
        <v>187</v>
      </c>
      <c r="AD6" s="57" t="s">
        <v>184</v>
      </c>
      <c r="AE6" s="57" t="s">
        <v>185</v>
      </c>
      <c r="AF6" s="201" t="s">
        <v>199</v>
      </c>
      <c r="AG6" s="200" t="s">
        <v>184</v>
      </c>
      <c r="AH6" s="202" t="s">
        <v>185</v>
      </c>
      <c r="AI6" s="203" t="s">
        <v>164</v>
      </c>
      <c r="AJ6" s="204" t="s">
        <v>187</v>
      </c>
      <c r="AK6" s="204" t="s">
        <v>198</v>
      </c>
      <c r="AL6" s="204" t="s">
        <v>185</v>
      </c>
      <c r="AM6" s="204" t="s">
        <v>187</v>
      </c>
      <c r="AN6" s="204" t="s">
        <v>198</v>
      </c>
      <c r="AO6" s="204" t="s">
        <v>185</v>
      </c>
      <c r="AP6" s="204" t="s">
        <v>187</v>
      </c>
      <c r="AQ6" s="204" t="s">
        <v>198</v>
      </c>
      <c r="AR6" s="204" t="s">
        <v>185</v>
      </c>
      <c r="AS6" s="201" t="s">
        <v>199</v>
      </c>
      <c r="AT6" s="200" t="s">
        <v>184</v>
      </c>
      <c r="AU6" s="202" t="s">
        <v>185</v>
      </c>
      <c r="AV6" s="86" t="s">
        <v>197</v>
      </c>
      <c r="AW6" s="200" t="s">
        <v>187</v>
      </c>
      <c r="AX6" s="200" t="s">
        <v>198</v>
      </c>
      <c r="AY6" s="200" t="s">
        <v>185</v>
      </c>
      <c r="AZ6" s="200" t="s">
        <v>187</v>
      </c>
      <c r="BA6" s="200" t="s">
        <v>198</v>
      </c>
      <c r="BB6" s="200" t="s">
        <v>185</v>
      </c>
      <c r="BC6" s="200" t="s">
        <v>187</v>
      </c>
      <c r="BD6" s="200" t="s">
        <v>198</v>
      </c>
      <c r="BE6" s="200" t="s">
        <v>185</v>
      </c>
      <c r="BF6" s="201" t="s">
        <v>199</v>
      </c>
      <c r="BG6" s="200" t="s">
        <v>184</v>
      </c>
      <c r="BH6" s="202" t="s">
        <v>185</v>
      </c>
      <c r="BI6" s="201" t="s">
        <v>199</v>
      </c>
      <c r="BJ6" s="200" t="s">
        <v>184</v>
      </c>
      <c r="BK6" s="202" t="s">
        <v>185</v>
      </c>
      <c r="BL6" s="201" t="s">
        <v>199</v>
      </c>
      <c r="BM6" s="200" t="s">
        <v>184</v>
      </c>
      <c r="BN6" s="202" t="s">
        <v>185</v>
      </c>
      <c r="BO6" s="201" t="s">
        <v>184</v>
      </c>
      <c r="BP6" s="202" t="s">
        <v>185</v>
      </c>
    </row>
    <row r="7" spans="1:68" s="32" customFormat="1" ht="15.75" thickBot="1" x14ac:dyDescent="0.3">
      <c r="A7" s="11"/>
      <c r="B7" s="11"/>
      <c r="C7" s="11"/>
      <c r="D7" s="18"/>
      <c r="E7" s="46"/>
      <c r="F7" s="46"/>
      <c r="G7" s="46"/>
      <c r="H7" s="46"/>
      <c r="I7" s="46"/>
      <c r="J7" s="46"/>
      <c r="K7" s="46"/>
      <c r="L7" s="46"/>
      <c r="M7" s="26"/>
      <c r="N7" s="197" t="s">
        <v>325</v>
      </c>
      <c r="O7" s="88">
        <f>fcross</f>
        <v>1600</v>
      </c>
      <c r="P7" s="84" t="str">
        <f>COMPLEX(ADC_VINmin,0)</f>
        <v>51.2462147682274</v>
      </c>
      <c r="Q7" s="85" t="str">
        <f>IMSUM(COMPLEX(1,0),IMDIV(COMPLEX(0,2*PI()*O7),COMPLEX(wp_lf_VINmin,0)))</f>
        <v>1+8.69371551936792i</v>
      </c>
      <c r="R7" s="85">
        <f t="shared" ref="R7:R13" si="0">IMABS(Q7)</f>
        <v>8.7510393400840467</v>
      </c>
      <c r="S7" s="85">
        <f t="shared" ref="S7:S13" si="1">IMARGUMENT(Q7)</f>
        <v>1.4562740165145265</v>
      </c>
      <c r="T7" s="85" t="str">
        <f>IMSUM(COMPLEX(1,0),IMDIV(COMPLEX(0,2*PI()*O7),COMPLEX(wz_esr_VINmin,0)))</f>
        <v>1+0.00904778684233858i</v>
      </c>
      <c r="U7" s="85">
        <f t="shared" ref="U7:U13" si="2">IMABS(T7)</f>
        <v>1.0000409303857241</v>
      </c>
      <c r="V7" s="85">
        <f t="shared" ref="V7:V13" si="3">IMARGUMENT(T7)</f>
        <v>9.0475399631417021E-3</v>
      </c>
      <c r="W7" s="83" t="str">
        <f>IMSUB(COMPLEX(1,0),IMDIV(COMPLEX(0,2*PI()*O7),COMPLEX(wz_RHP_VINmin,0)))</f>
        <v>1-0.202737445911661i</v>
      </c>
      <c r="X7" s="85">
        <f t="shared" ref="X7:X13" si="4">IMABS(W7)</f>
        <v>1.0203442909012543</v>
      </c>
      <c r="Y7" s="85">
        <f t="shared" ref="Y7:Y13" si="5">IMARGUMENT(W7)</f>
        <v>-0.20002632838748341</v>
      </c>
      <c r="Z7" s="83" t="str">
        <f>IMSUM(COMPLEX(1,0),IMDIV(COMPLEX(0,2*PI()*O7),COMPLEX(Q_VINmin*(wsl_VINmin/2),0)),IMDIV(IMPOWER(COMPLEX(0,2*PI()*O7),2),IMPOWER(COMPLEX(wsl_VINmin/2,0),2)))</f>
        <v>0.999936+0.0160514440647414i</v>
      </c>
      <c r="AA7" s="85">
        <f t="shared" ref="AA7:AA13" si="6">IMABS(Z7)</f>
        <v>1.000064824375182</v>
      </c>
      <c r="AB7" s="85">
        <f t="shared" ref="AB7:AB13" si="7">IMARGUMENT(Z7)</f>
        <v>1.6051092825932076E-2</v>
      </c>
      <c r="AC7" s="83" t="str">
        <f>IMDIV(IMSUM(COMPLEX(0,2*PI()*O7*Constants!$B$61*Constants!$B$62),COMPLEX(1,0)),IMSUM(COMPLEX(0,2*PI()*O7*Constants!$B$61*Constants!$B$62),COMPLEX(2,0)))</f>
        <v>0.500202047818486+0.0100490340790571i</v>
      </c>
      <c r="AD7" s="85">
        <f>IMABS(AC7)</f>
        <v>0.50030297993089046</v>
      </c>
      <c r="AE7" s="337">
        <f>IMARGUMENT(AC7)</f>
        <v>2.0087247742659475E-2</v>
      </c>
      <c r="AF7" s="86" t="str">
        <f>(IMDIV(IMPRODUCT(P7,T7,W7,AC7),IMPRODUCT(Q7,Z7)))</f>
        <v>-0.216297936529217-2.98147888785106i</v>
      </c>
      <c r="AG7" s="87">
        <f t="shared" ref="AG7:AG13" si="8">20*LOG(IMABS(AF7))</f>
        <v>9.5114321629213237</v>
      </c>
      <c r="AH7" s="88">
        <f t="shared" ref="AH7:AH13" si="9">(180/PI())*IMARGUMENT(AF7)</f>
        <v>-94.149378871894356</v>
      </c>
      <c r="AI7" s="71" t="str">
        <f t="shared" ref="AI7:AI13" si="10">COMPLEX($B$72,0)</f>
        <v>107.538871525172</v>
      </c>
      <c r="AJ7" s="74" t="str">
        <f t="shared" ref="AJ7:AJ13" si="11">IMSUM(COMPLEX(1,0),IMDIV(COMPLEX(0,2*PI()*O7),COMPLEX(wp_lf_DCM,0)))</f>
        <v>1+7.49086248310501i</v>
      </c>
      <c r="AK7" s="74">
        <f>IMABS(AJ7)</f>
        <v>7.5573157100117347</v>
      </c>
      <c r="AL7" s="74">
        <f>IMARGUMENT(AJ7)</f>
        <v>1.4380849959299589</v>
      </c>
      <c r="AM7" s="74" t="str">
        <f t="shared" ref="AM7:AM13" si="12">IMSUM(COMPLEX(1,0),IMDIV(COMPLEX(0,2*PI()*O7),COMPLEX(wz1_dcm,0)))</f>
        <v>1+0.00904778684233858i</v>
      </c>
      <c r="AN7" s="74">
        <f>IMABS(AM7)</f>
        <v>1.0000409303857241</v>
      </c>
      <c r="AO7" s="74">
        <f>IMARGUMENT(AM7)</f>
        <v>9.0475399631417021E-3</v>
      </c>
      <c r="AP7" s="74" t="str">
        <f t="shared" ref="AP7:AP13" si="13">IMSUB(COMPLEX(1,0),IMDIV(COMPLEX(0,2*PI()*O7),COMPLEX(wz2_dcm,0)))</f>
        <v>1-0.0260139553913155i</v>
      </c>
      <c r="AQ7" s="74">
        <f>IMABS(AP7)</f>
        <v>1.0003383057121731</v>
      </c>
      <c r="AR7" s="74">
        <f>IMARGUMENT(AP7)</f>
        <v>-2.6008089667248036E-2</v>
      </c>
      <c r="AS7" s="71" t="str">
        <f>(IMDIV(IMPRODUCT(AI7,AM7,AP7),IMPRODUCT(AJ7)))</f>
        <v>1.64405478035415-14.1399108941872i</v>
      </c>
      <c r="AT7" s="74">
        <f>20*LOG(IMABS(AS7))</f>
        <v>23.06725168673459</v>
      </c>
      <c r="AU7" s="76">
        <f>(180/PI())*IMARGUMENT(AS7)</f>
        <v>-83.367968764141978</v>
      </c>
      <c r="AV7" s="56" t="str">
        <f t="shared" ref="AV7:AV13" si="14">COMPLEX(Adc_ea,0)</f>
        <v>-0.0000333333333333333</v>
      </c>
      <c r="AW7" s="56" t="str">
        <f t="shared" ref="AW7:AW13" si="15">COMPLEX(0,2*PI()*O7*wp0_ea)</f>
        <v>0.000482548631591392i</v>
      </c>
      <c r="AX7" s="56">
        <f t="shared" ref="AX7:AX13" si="16">IMABS(AW7)</f>
        <v>4.8254863159139199E-4</v>
      </c>
      <c r="AY7" s="56">
        <f t="shared" ref="AY7:AY13" si="17">IMARGUMENT(AW7)</f>
        <v>1.5707963267948966</v>
      </c>
      <c r="AZ7" s="56" t="str">
        <f t="shared" ref="AZ7:AZ13" si="18">IMSUM(COMPLEX(1,0),IMDIV(COMPLEX(0,2*PI()*O7),COMPLEX(wp1_ea,0)))</f>
        <v>1+0.19687313962496i</v>
      </c>
      <c r="BA7" s="56">
        <f t="shared" ref="BA7:BA13" si="19">IMABS(AZ7)</f>
        <v>1.0191952870307972</v>
      </c>
      <c r="BB7" s="56">
        <f t="shared" ref="BB7:BB13" si="20">IMARGUMENT(AZ7)</f>
        <v>0.19438716339891765</v>
      </c>
      <c r="BC7" s="56" t="str">
        <f t="shared" ref="BC7:BC13" si="21">IMSUM(COMPLEX(1,0),IMDIV(COMPLEX(0,2*PI()*O7),COMPLEX(wz_ea,0)))</f>
        <v>1+9.44991070199809i</v>
      </c>
      <c r="BD7" s="56">
        <f t="shared" ref="BD7:BD13" si="22">IMABS(BC7)</f>
        <v>9.5026739539846385</v>
      </c>
      <c r="BE7" s="56">
        <f t="shared" ref="BE7:BE13" si="23">IMARGUMENT(BC7)</f>
        <v>1.4653675867864666</v>
      </c>
      <c r="BF7" s="62" t="str">
        <f t="shared" ref="BF7:BF13" si="24">IMPRODUCT(AV7,IMDIV(BC7,IMPRODUCT(AW7,AZ7)))</f>
        <v>-0.615328695462373+0.190219358449532i</v>
      </c>
      <c r="BG7" s="56">
        <f t="shared" ref="BG7:BG13" si="25">20*LOG(IMABS(BF7))</f>
        <v>-3.8214784277011105</v>
      </c>
      <c r="BH7" s="63">
        <f t="shared" ref="BH7:BH13" si="26">(180/PI())*IMARGUMENT(BF7)</f>
        <v>162.82181410385706</v>
      </c>
      <c r="BI7" s="62" t="str">
        <f t="shared" ref="BI7:BI13" si="27">IMPRODUCT(AF7,BF7)</f>
        <v>0.700229328393579+1.79344545988945i</v>
      </c>
      <c r="BJ7" s="65">
        <f t="shared" ref="BJ7:BJ13" si="28">20*LOG(IMABS(BI7))</f>
        <v>5.6899537352201968</v>
      </c>
      <c r="BK7" s="63">
        <f t="shared" ref="BK7:BK13" si="29">(180/PI())*IMARGUMENT(BI7)</f>
        <v>68.672435231962666</v>
      </c>
      <c r="BL7" s="62" t="str">
        <f>IMPRODUCT(AS7,BF7)</f>
        <v>1.67805069556184+9.01342397004926i</v>
      </c>
      <c r="BM7" s="65">
        <f t="shared" ref="BM7:BM13" si="30">20*LOG(IMABS(BL7))</f>
        <v>19.245773259033484</v>
      </c>
      <c r="BN7" s="63">
        <f t="shared" ref="BN7:BN13" si="31">(180/PI())*IMARGUMENT(BL7)</f>
        <v>79.453845339715087</v>
      </c>
      <c r="BO7" s="59">
        <f>IF($B$31=0,BM7,BJ7)</f>
        <v>5.6899537352201968</v>
      </c>
      <c r="BP7" s="61">
        <f>IF($B$31=0,BN7,BK7)</f>
        <v>68.672435231962666</v>
      </c>
    </row>
    <row r="8" spans="1:68" s="32" customFormat="1" ht="15.75" thickBot="1" x14ac:dyDescent="0.3">
      <c r="A8" s="11"/>
      <c r="B8" s="11"/>
      <c r="C8" s="11"/>
      <c r="D8" s="18"/>
      <c r="E8" s="101"/>
      <c r="F8" s="101"/>
      <c r="G8" s="101"/>
      <c r="H8" s="101"/>
      <c r="I8" s="101"/>
      <c r="J8" s="101"/>
      <c r="K8" s="101"/>
      <c r="L8" s="101"/>
      <c r="M8" s="26"/>
      <c r="N8" s="196" t="s">
        <v>452</v>
      </c>
      <c r="O8" s="88">
        <f>fcross</f>
        <v>1600</v>
      </c>
      <c r="P8" s="84" t="str">
        <f t="shared" ref="P8:P13" si="32">COMPLEX(Adc,0)</f>
        <v>37.1583961085025</v>
      </c>
      <c r="Q8" s="85" t="str">
        <f t="shared" ref="Q8:Q13" si="33">IMSUM(COMPLEX(1,0),IMDIV(COMPLEX(0,2*PI()*O8),COMPLEX(wp_lf,0)))</f>
        <v>1+7.87971673577141i</v>
      </c>
      <c r="R8" s="85">
        <f t="shared" si="0"/>
        <v>7.9429173378549045</v>
      </c>
      <c r="S8" s="85">
        <f t="shared" si="1"/>
        <v>1.4445630158950558</v>
      </c>
      <c r="T8" s="85" t="str">
        <f t="shared" ref="T8:T13" si="34">IMSUM(COMPLEX(1,0),IMDIV(COMPLEX(0,2*PI()*O8),COMPLEX(wz_esr,0)))</f>
        <v>1+0.00904778684233858i</v>
      </c>
      <c r="U8" s="85">
        <f t="shared" si="2"/>
        <v>1.0000409303857241</v>
      </c>
      <c r="V8" s="85">
        <f t="shared" si="3"/>
        <v>9.0475399631417021E-3</v>
      </c>
      <c r="W8" s="83" t="str">
        <f t="shared" ref="W8:W13" si="35">IMSUB(COMPLEX(1,0),IMDIV(COMPLEX(0,2*PI()*O8),COMPLEX(wz_rhp,0)))</f>
        <v>1-0.0791943148092421i</v>
      </c>
      <c r="X8" s="85">
        <f t="shared" si="4"/>
        <v>1.0031309682679053</v>
      </c>
      <c r="Y8" s="85">
        <f t="shared" si="5"/>
        <v>-7.9029373011562917E-2</v>
      </c>
      <c r="Z8" s="83" t="str">
        <f t="shared" ref="Z8:Z13" si="36">IMSUM(COMPLEX(1,0),IMDIV(COMPLEX(0,2*PI()*O8),COMPLEX(Q*(wsl/2),0)),IMDIV(IMPOWER(COMPLEX(0,2*PI()*O8),2),IMPOWER(COMPLEX(wsl/2,0),2)))</f>
        <v>0.999936+0.0190673730121876i</v>
      </c>
      <c r="AA8" s="85">
        <f t="shared" si="6"/>
        <v>1.0001177774690269</v>
      </c>
      <c r="AB8" s="85">
        <f t="shared" si="7"/>
        <v>1.9066282721203018E-2</v>
      </c>
      <c r="AC8" s="83" t="str">
        <f>IMDIV(IMSUM(COMPLEX(0,2*PI()*O8*Constants!$B$61*Constants!$B$62),COMPLEX(1,0)),IMSUM(COMPLEX(0,2*PI()*O8*Constants!$B$61*Constants!$B$62),COMPLEX(2,0)))</f>
        <v>0.500202047818486+0.0100490340790571i</v>
      </c>
      <c r="AD8" s="85">
        <f t="shared" ref="AD8:AD13" si="37">IMABS(AC8)</f>
        <v>0.50030297993089046</v>
      </c>
      <c r="AE8" s="337">
        <f t="shared" ref="AE8:AE13" si="38">IMARGUMENT(AC8)</f>
        <v>2.0087247742659475E-2</v>
      </c>
      <c r="AF8" s="86" t="str">
        <f t="shared" ref="AF8:AF13" si="39">(IMDIV(IMPRODUCT(P8,T8,W8,AC8),IMPRODUCT(Q8,Z8)))</f>
        <v>0.134382442667785-2.34380573004035i</v>
      </c>
      <c r="AG8" s="87">
        <f t="shared" si="8"/>
        <v>7.4126854633805008</v>
      </c>
      <c r="AH8" s="88">
        <f t="shared" si="9"/>
        <v>-86.718530740980114</v>
      </c>
      <c r="AI8" s="59" t="str">
        <f t="shared" si="10"/>
        <v>107.538871525172</v>
      </c>
      <c r="AJ8" s="50" t="str">
        <f t="shared" si="11"/>
        <v>1+7.49086248310501i</v>
      </c>
      <c r="AK8" s="50">
        <f t="shared" ref="AK8:AK13" si="40">IMABS(AJ8)</f>
        <v>7.5573157100117347</v>
      </c>
      <c r="AL8" s="50">
        <f t="shared" ref="AL8:AL13" si="41">IMARGUMENT(AJ8)</f>
        <v>1.4380849959299589</v>
      </c>
      <c r="AM8" s="50" t="str">
        <f t="shared" si="12"/>
        <v>1+0.00904778684233858i</v>
      </c>
      <c r="AN8" s="50">
        <f t="shared" ref="AN8:AN13" si="42">IMABS(AM8)</f>
        <v>1.0000409303857241</v>
      </c>
      <c r="AO8" s="50">
        <f t="shared" ref="AO8:AO13" si="43">IMARGUMENT(AM8)</f>
        <v>9.0475399631417021E-3</v>
      </c>
      <c r="AP8" s="50" t="str">
        <f t="shared" si="13"/>
        <v>1-0.0260139553913155i</v>
      </c>
      <c r="AQ8" s="50">
        <f t="shared" ref="AQ8:AQ13" si="44">IMABS(AP8)</f>
        <v>1.0003383057121731</v>
      </c>
      <c r="AR8" s="50">
        <f t="shared" ref="AR8:AR13" si="45">IMARGUMENT(AP8)</f>
        <v>-2.6008089667248036E-2</v>
      </c>
      <c r="AS8" s="59" t="str">
        <f t="shared" ref="AS8:AS13" si="46">(IMDIV(IMPRODUCT(AI8,AM8,AP8),IMPRODUCT(AJ8)))</f>
        <v>1.64405478035415-14.1399108941872i</v>
      </c>
      <c r="AT8" s="50">
        <f t="shared" ref="AT8:AT13" si="47">20*LOG(IMABS(AS8))</f>
        <v>23.06725168673459</v>
      </c>
      <c r="AU8" s="61">
        <f t="shared" ref="AU8:AU13" si="48">(180/PI())*IMARGUMENT(AS8)</f>
        <v>-83.367968764141978</v>
      </c>
      <c r="AV8" s="83" t="str">
        <f t="shared" si="14"/>
        <v>-0.0000333333333333333</v>
      </c>
      <c r="AW8" s="83" t="str">
        <f t="shared" si="15"/>
        <v>0.000482548631591392i</v>
      </c>
      <c r="AX8" s="83">
        <f t="shared" si="16"/>
        <v>4.8254863159139199E-4</v>
      </c>
      <c r="AY8" s="83">
        <f t="shared" si="17"/>
        <v>1.5707963267948966</v>
      </c>
      <c r="AZ8" s="83" t="str">
        <f t="shared" si="18"/>
        <v>1+0.19687313962496i</v>
      </c>
      <c r="BA8" s="83">
        <f t="shared" si="19"/>
        <v>1.0191952870307972</v>
      </c>
      <c r="BB8" s="83">
        <f t="shared" si="20"/>
        <v>0.19438716339891765</v>
      </c>
      <c r="BC8" s="83" t="str">
        <f t="shared" si="21"/>
        <v>1+9.44991070199809i</v>
      </c>
      <c r="BD8" s="83">
        <f t="shared" si="22"/>
        <v>9.5026739539846385</v>
      </c>
      <c r="BE8" s="83">
        <f t="shared" si="23"/>
        <v>1.4653675867864666</v>
      </c>
      <c r="BF8" s="82" t="str">
        <f t="shared" si="24"/>
        <v>-0.615328695462373+0.190219358449532i</v>
      </c>
      <c r="BG8" s="83">
        <f t="shared" si="25"/>
        <v>-3.8214784277011105</v>
      </c>
      <c r="BH8" s="88">
        <f t="shared" si="26"/>
        <v>162.82181410385706</v>
      </c>
      <c r="BI8" s="82" t="str">
        <f t="shared" si="27"/>
        <v>0.363147849158797+1.46777306431411i</v>
      </c>
      <c r="BJ8" s="87">
        <f t="shared" si="28"/>
        <v>3.591207035679389</v>
      </c>
      <c r="BK8" s="88">
        <f t="shared" si="29"/>
        <v>76.103283362876951</v>
      </c>
      <c r="BL8" s="82" t="str">
        <f t="shared" ref="BL8:BL13" si="49">IMPRODUCT(AS8,BF8)</f>
        <v>1.67805069556184+9.01342397004926i</v>
      </c>
      <c r="BM8" s="87">
        <f t="shared" si="30"/>
        <v>19.245773259033484</v>
      </c>
      <c r="BN8" s="88">
        <f t="shared" si="31"/>
        <v>79.453845339715087</v>
      </c>
      <c r="BO8" s="59">
        <f t="shared" ref="BO8:BO13" si="50">IF($B$31=0,BM8,BJ8)</f>
        <v>3.591207035679389</v>
      </c>
      <c r="BP8" s="61">
        <f t="shared" ref="BP8:BP13" si="51">IF($B$31=0,BN8,BK8)</f>
        <v>76.103283362876951</v>
      </c>
    </row>
    <row r="9" spans="1:68" s="32" customFormat="1" ht="15.75" thickBot="1" x14ac:dyDescent="0.3">
      <c r="A9" s="69" t="s">
        <v>138</v>
      </c>
      <c r="B9" s="11"/>
      <c r="C9" s="11"/>
      <c r="D9" s="18"/>
      <c r="E9" s="36"/>
      <c r="F9" s="36"/>
      <c r="G9" s="36"/>
      <c r="H9" s="46"/>
      <c r="I9" s="46"/>
      <c r="J9" s="46"/>
      <c r="K9" s="36"/>
      <c r="L9" s="36"/>
      <c r="M9" s="26"/>
      <c r="N9" s="198" t="s">
        <v>220</v>
      </c>
      <c r="O9" s="89">
        <f>IF($B$31=0,B78,wz_rhp/(2*PI()))</f>
        <v>20203.470461913326</v>
      </c>
      <c r="P9" s="72" t="str">
        <f t="shared" si="32"/>
        <v>37.1583961085025</v>
      </c>
      <c r="Q9" s="73" t="str">
        <f t="shared" si="33"/>
        <v>1+99.4985151996268i</v>
      </c>
      <c r="R9" s="73">
        <f t="shared" si="0"/>
        <v>99.503540273350907</v>
      </c>
      <c r="S9" s="73">
        <f t="shared" si="1"/>
        <v>1.5607462639387235</v>
      </c>
      <c r="T9" s="73" t="str">
        <f t="shared" si="34"/>
        <v>1+0.114247933884298i</v>
      </c>
      <c r="U9" s="73">
        <f t="shared" si="2"/>
        <v>1.0065051367960478</v>
      </c>
      <c r="V9" s="73">
        <f t="shared" si="3"/>
        <v>0.11375471367959189</v>
      </c>
      <c r="W9" s="74" t="str">
        <f t="shared" si="35"/>
        <v>1-i</v>
      </c>
      <c r="X9" s="73">
        <f t="shared" si="4"/>
        <v>1.4142135623730951</v>
      </c>
      <c r="Y9" s="73">
        <f t="shared" si="5"/>
        <v>-0.78539816339744828</v>
      </c>
      <c r="Z9" s="74" t="str">
        <f t="shared" si="36"/>
        <v>0.989795494532365+0.240766942148761i</v>
      </c>
      <c r="AA9" s="73">
        <f t="shared" si="6"/>
        <v>1.0186578627921319</v>
      </c>
      <c r="AB9" s="73">
        <f t="shared" si="7"/>
        <v>0.23861492736604431</v>
      </c>
      <c r="AC9" s="50" t="str">
        <f>IMDIV(IMSUM(COMPLEX(0,2*PI()*O9*Constants!$B$61*Constants!$B$62),COMPLEX(1,0)),IMSUM(COMPLEX(0,2*PI()*O9*Constants!$B$61*Constants!$B$62),COMPLEX(2,0)))</f>
        <v>0.530277043696856+0.119255282790352i</v>
      </c>
      <c r="AD9" s="78">
        <f t="shared" si="37"/>
        <v>0.54352144902044497</v>
      </c>
      <c r="AE9" s="78">
        <f t="shared" si="38"/>
        <v>0.22121203511357387</v>
      </c>
      <c r="AF9" s="338" t="str">
        <f t="shared" si="39"/>
        <v>-0.178117206561752-0.220714529471449i</v>
      </c>
      <c r="AG9" s="75">
        <f t="shared" si="8"/>
        <v>-10.94524467657479</v>
      </c>
      <c r="AH9" s="76">
        <f t="shared" si="9"/>
        <v>-128.9036210983279</v>
      </c>
      <c r="AI9" s="59" t="str">
        <f t="shared" si="10"/>
        <v>107.538871525172</v>
      </c>
      <c r="AJ9" s="50" t="str">
        <f t="shared" si="11"/>
        <v>1+94.5883868197924i</v>
      </c>
      <c r="AK9" s="50">
        <f t="shared" si="40"/>
        <v>94.593672733278922</v>
      </c>
      <c r="AL9" s="50">
        <f t="shared" si="41"/>
        <v>1.560224598282252</v>
      </c>
      <c r="AM9" s="50" t="str">
        <f t="shared" si="12"/>
        <v>1+0.114247933884298i</v>
      </c>
      <c r="AN9" s="50">
        <f t="shared" si="42"/>
        <v>1.0065051367960478</v>
      </c>
      <c r="AO9" s="50">
        <f t="shared" si="43"/>
        <v>0.11375471367959189</v>
      </c>
      <c r="AP9" s="50" t="str">
        <f t="shared" si="13"/>
        <v>1-0.328482612091236i</v>
      </c>
      <c r="AQ9" s="50">
        <f t="shared" si="44"/>
        <v>1.0525686801564453</v>
      </c>
      <c r="AR9" s="50">
        <f t="shared" si="45"/>
        <v>-0.31737857091219701</v>
      </c>
      <c r="AS9" s="59" t="str">
        <f t="shared" si="46"/>
        <v>-0.231069929690205-1.18202364397319i</v>
      </c>
      <c r="AT9" s="50">
        <f t="shared" si="47"/>
        <v>1.6153965160283656</v>
      </c>
      <c r="AU9" s="61">
        <f t="shared" si="48"/>
        <v>-101.06107220167009</v>
      </c>
      <c r="AV9" s="74" t="str">
        <f t="shared" si="14"/>
        <v>-0.0000333333333333333</v>
      </c>
      <c r="AW9" s="74" t="str">
        <f t="shared" si="15"/>
        <v>0.00609322314049587i</v>
      </c>
      <c r="AX9" s="74">
        <f t="shared" si="16"/>
        <v>6.0932231404958702E-3</v>
      </c>
      <c r="AY9" s="74">
        <f t="shared" si="17"/>
        <v>1.5707963267948966</v>
      </c>
      <c r="AZ9" s="74" t="str">
        <f t="shared" si="18"/>
        <v>1+2.48595041322315i</v>
      </c>
      <c r="BA9" s="74">
        <f t="shared" si="19"/>
        <v>2.6795427701390309</v>
      </c>
      <c r="BB9" s="74">
        <f t="shared" si="20"/>
        <v>1.1883426440110556</v>
      </c>
      <c r="BC9" s="74" t="str">
        <f t="shared" si="21"/>
        <v>1+119.325619834711i</v>
      </c>
      <c r="BD9" s="74">
        <f t="shared" si="22"/>
        <v>119.32980997612448</v>
      </c>
      <c r="BE9" s="74">
        <f t="shared" si="23"/>
        <v>1.5624160930124438</v>
      </c>
      <c r="BF9" s="71" t="str">
        <f t="shared" si="24"/>
        <v>-0.0890226657678199+0.226776491200813i</v>
      </c>
      <c r="BG9" s="74">
        <f t="shared" si="25"/>
        <v>-12.265601639157108</v>
      </c>
      <c r="BH9" s="76">
        <f t="shared" si="26"/>
        <v>111.43282985568172</v>
      </c>
      <c r="BI9" s="71" t="str">
        <f t="shared" si="27"/>
        <v>0.0659093350978182-0.0207441993393261i</v>
      </c>
      <c r="BJ9" s="75">
        <f t="shared" si="28"/>
        <v>-23.210846315731906</v>
      </c>
      <c r="BK9" s="76">
        <f t="shared" si="29"/>
        <v>-17.470791242646197</v>
      </c>
      <c r="BL9" s="82" t="str">
        <f t="shared" si="49"/>
        <v>0.288625635616444+0.0528256679099226i</v>
      </c>
      <c r="BM9" s="75">
        <f t="shared" si="30"/>
        <v>-10.650205123128737</v>
      </c>
      <c r="BN9" s="76">
        <f t="shared" si="31"/>
        <v>10.371757654011633</v>
      </c>
      <c r="BO9" s="59">
        <f t="shared" si="50"/>
        <v>-23.210846315731906</v>
      </c>
      <c r="BP9" s="61">
        <f t="shared" si="51"/>
        <v>-17.470791242646197</v>
      </c>
    </row>
    <row r="10" spans="1:68" s="32" customFormat="1" ht="15.75" thickBot="1" x14ac:dyDescent="0.3">
      <c r="A10" s="32" t="s">
        <v>19</v>
      </c>
      <c r="B10" s="3">
        <f>VIN_min</f>
        <v>9</v>
      </c>
      <c r="C10" s="32" t="s">
        <v>5</v>
      </c>
      <c r="E10" s="32" t="s">
        <v>22</v>
      </c>
      <c r="N10" s="197" t="s">
        <v>183</v>
      </c>
      <c r="O10" s="90">
        <f>IF(B31=0,B76,wz_esr/(2*PI()))</f>
        <v>176838.82565766151</v>
      </c>
      <c r="P10" s="77" t="str">
        <f t="shared" si="32"/>
        <v>37.1583961085025</v>
      </c>
      <c r="Q10" s="78" t="str">
        <f t="shared" si="33"/>
        <v>1+870.899908793026i</v>
      </c>
      <c r="R10" s="78">
        <f t="shared" si="0"/>
        <v>870.90048291162464</v>
      </c>
      <c r="S10" s="78">
        <f t="shared" si="1"/>
        <v>1.5696480897237697</v>
      </c>
      <c r="T10" s="78" t="str">
        <f t="shared" si="34"/>
        <v>1+i</v>
      </c>
      <c r="U10" s="78">
        <f t="shared" si="2"/>
        <v>1.4142135623730951</v>
      </c>
      <c r="V10" s="78">
        <f t="shared" si="3"/>
        <v>0.78539816339744828</v>
      </c>
      <c r="W10" s="50" t="str">
        <f t="shared" si="35"/>
        <v>1-8.75289351851848i</v>
      </c>
      <c r="X10" s="78">
        <f t="shared" si="4"/>
        <v>8.8098322882176827</v>
      </c>
      <c r="Y10" s="78">
        <f t="shared" si="5"/>
        <v>-1.4570416131153048</v>
      </c>
      <c r="Z10" s="50" t="str">
        <f t="shared" si="36"/>
        <v>0.21820074350048+2.1074074074074i</v>
      </c>
      <c r="AA10" s="78">
        <f t="shared" si="6"/>
        <v>2.1186735343746901</v>
      </c>
      <c r="AB10" s="78">
        <f t="shared" si="7"/>
        <v>1.4676240692173044</v>
      </c>
      <c r="AC10" s="50" t="str">
        <f>IMDIV(IMSUM(COMPLEX(0,2*PI()*O10*Constants!$B$61*Constants!$B$62),COMPLEX(1,0)),IMSUM(COMPLEX(0,2*PI()*O10*Constants!$B$61*Constants!$B$62),COMPLEX(2,0)))</f>
        <v>0.915800415800416+0.187110187110187i</v>
      </c>
      <c r="AD10" s="78">
        <f t="shared" si="37"/>
        <v>0.93471954280448422</v>
      </c>
      <c r="AE10" s="78">
        <f t="shared" si="38"/>
        <v>0.20153948378514924</v>
      </c>
      <c r="AF10" s="339" t="str">
        <f t="shared" si="39"/>
        <v>-0.219009319285583+0.0838849930896267i</v>
      </c>
      <c r="AG10" s="64">
        <f t="shared" si="8"/>
        <v>-12.596233027638617</v>
      </c>
      <c r="AH10" s="61">
        <f t="shared" si="9"/>
        <v>159.04215087978267</v>
      </c>
      <c r="AI10" s="59" t="str">
        <f t="shared" si="10"/>
        <v>107.538871525172</v>
      </c>
      <c r="AJ10" s="50" t="str">
        <f t="shared" si="11"/>
        <v>1+827.92207792208i</v>
      </c>
      <c r="AK10" s="50">
        <f t="shared" si="40"/>
        <v>827.92268184342822</v>
      </c>
      <c r="AL10" s="50">
        <f t="shared" si="41"/>
        <v>1.5695884842450094</v>
      </c>
      <c r="AM10" s="50" t="str">
        <f t="shared" si="12"/>
        <v>1+i</v>
      </c>
      <c r="AN10" s="50">
        <f t="shared" si="42"/>
        <v>1.4142135623730951</v>
      </c>
      <c r="AO10" s="50">
        <f t="shared" si="43"/>
        <v>0.78539816339744828</v>
      </c>
      <c r="AP10" s="50" t="str">
        <f t="shared" si="13"/>
        <v>1-2.8751733263194i</v>
      </c>
      <c r="AQ10" s="50">
        <f t="shared" si="44"/>
        <v>3.0441126221574923</v>
      </c>
      <c r="AR10" s="50">
        <f t="shared" si="45"/>
        <v>-1.2360781948539465</v>
      </c>
      <c r="AS10" s="59" t="str">
        <f t="shared" si="46"/>
        <v>-0.242958110106011-0.503640059501088i</v>
      </c>
      <c r="AT10" s="50">
        <f t="shared" si="47"/>
        <v>-5.0489718439608815</v>
      </c>
      <c r="AU10" s="61">
        <f t="shared" si="48"/>
        <v>-115.75285943285566</v>
      </c>
      <c r="AV10" s="50" t="str">
        <f t="shared" si="14"/>
        <v>-0.0000333333333333333</v>
      </c>
      <c r="AW10" s="50" t="str">
        <f t="shared" si="15"/>
        <v>0.0533333333333333i</v>
      </c>
      <c r="AX10" s="50">
        <f t="shared" si="16"/>
        <v>5.3333333333333302E-2</v>
      </c>
      <c r="AY10" s="50">
        <f t="shared" si="17"/>
        <v>1.5707963267948966</v>
      </c>
      <c r="AZ10" s="50" t="str">
        <f t="shared" si="18"/>
        <v>1+21.7592592592593i</v>
      </c>
      <c r="BA10" s="50">
        <f t="shared" si="19"/>
        <v>21.78222586219465</v>
      </c>
      <c r="BB10" s="50">
        <f t="shared" si="20"/>
        <v>1.524871194419775</v>
      </c>
      <c r="BC10" s="50" t="str">
        <f t="shared" si="21"/>
        <v>1+1044.44444444445i</v>
      </c>
      <c r="BD10" s="50">
        <f t="shared" si="22"/>
        <v>1044.4449231677445</v>
      </c>
      <c r="BE10" s="50">
        <f t="shared" si="23"/>
        <v>1.5698388802789511</v>
      </c>
      <c r="BF10" s="59" t="str">
        <f t="shared" si="24"/>
        <v>-0.00134715469219921+0.0299380882098904i</v>
      </c>
      <c r="BG10" s="50">
        <f t="shared" si="25"/>
        <v>-30.466733928218662</v>
      </c>
      <c r="BH10" s="61">
        <f t="shared" si="26"/>
        <v>92.576458614200888</v>
      </c>
      <c r="BI10" s="59" t="str">
        <f t="shared" si="27"/>
        <v>-0.00221631689049236-0.00666972638160562i</v>
      </c>
      <c r="BJ10" s="64">
        <f t="shared" si="28"/>
        <v>-43.062966955857284</v>
      </c>
      <c r="BK10" s="61">
        <f t="shared" si="29"/>
        <v>-108.38139050601642</v>
      </c>
      <c r="BL10" s="82" t="str">
        <f t="shared" si="49"/>
        <v>0.0154053226854152-0.00659522026232564i</v>
      </c>
      <c r="BM10" s="64">
        <f t="shared" si="30"/>
        <v>-35.515705772179544</v>
      </c>
      <c r="BN10" s="61">
        <f t="shared" si="31"/>
        <v>-23.176400818654759</v>
      </c>
      <c r="BO10" s="59">
        <f t="shared" si="50"/>
        <v>-43.062966955857284</v>
      </c>
      <c r="BP10" s="61">
        <f t="shared" si="51"/>
        <v>-108.38139050601642</v>
      </c>
    </row>
    <row r="11" spans="1:68" s="32" customFormat="1" ht="15.75" thickBot="1" x14ac:dyDescent="0.3">
      <c r="A11" s="32" t="s">
        <v>20</v>
      </c>
      <c r="B11" s="3">
        <f>VIN_nom</f>
        <v>14.4</v>
      </c>
      <c r="C11" s="32" t="s">
        <v>5</v>
      </c>
      <c r="E11" s="32" t="s">
        <v>23</v>
      </c>
      <c r="N11" s="199" t="s">
        <v>181</v>
      </c>
      <c r="O11" s="91">
        <f>IF(B31=0,B74,wp_lf/(2*PI()))</f>
        <v>203.05298447296983</v>
      </c>
      <c r="P11" s="79" t="str">
        <f t="shared" si="32"/>
        <v>37.1583961085025</v>
      </c>
      <c r="Q11" s="55" t="str">
        <f t="shared" si="33"/>
        <v>1+i</v>
      </c>
      <c r="R11" s="55">
        <f t="shared" si="0"/>
        <v>1.4142135623730951</v>
      </c>
      <c r="S11" s="55">
        <f t="shared" si="1"/>
        <v>0.78539816339744828</v>
      </c>
      <c r="T11" s="55" t="str">
        <f t="shared" si="34"/>
        <v>1+0.00114823757575758i</v>
      </c>
      <c r="U11" s="55">
        <f t="shared" si="2"/>
        <v>1.0000006592245478</v>
      </c>
      <c r="V11" s="55">
        <f t="shared" si="3"/>
        <v>1.1482370711268816E-3</v>
      </c>
      <c r="W11" s="56" t="str">
        <f t="shared" si="35"/>
        <v>1-0.0100504012345679i</v>
      </c>
      <c r="X11" s="55">
        <f t="shared" si="4"/>
        <v>1.0000505040071606</v>
      </c>
      <c r="Y11" s="55">
        <f t="shared" si="5"/>
        <v>-1.0050062856173226E-2</v>
      </c>
      <c r="Z11" s="56" t="str">
        <f t="shared" si="36"/>
        <v>0.999998969237137+0.00241980437261504i</v>
      </c>
      <c r="AA11" s="55">
        <f t="shared" si="6"/>
        <v>1.00000189696247</v>
      </c>
      <c r="AB11" s="55">
        <f t="shared" si="7"/>
        <v>2.4198021438469951E-3</v>
      </c>
      <c r="AC11" s="56" t="str">
        <f>IMDIV(IMSUM(COMPLEX(0,2*PI()*O11*Constants!$B$61*Constants!$B$62),COMPLEX(1,0)),IMSUM(COMPLEX(0,2*PI()*O11*Constants!$B$61*Constants!$B$62),COMPLEX(2,0)))</f>
        <v>0.500003255409744+0.00127581122198888i</v>
      </c>
      <c r="AD11" s="55">
        <f t="shared" si="37"/>
        <v>0.50000488309077129</v>
      </c>
      <c r="AE11" s="55">
        <f t="shared" si="38"/>
        <v>2.5516002933809296E-3</v>
      </c>
      <c r="AF11" s="340" t="str">
        <f t="shared" si="39"/>
        <v>9.20831634759488-9.37126395796973i</v>
      </c>
      <c r="AG11" s="65">
        <f t="shared" si="8"/>
        <v>22.370752067897016</v>
      </c>
      <c r="AH11" s="63">
        <f t="shared" si="9"/>
        <v>-45.502485569727924</v>
      </c>
      <c r="AI11" s="59" t="str">
        <f t="shared" si="10"/>
        <v>107.538871525172</v>
      </c>
      <c r="AJ11" s="50" t="str">
        <f t="shared" si="11"/>
        <v>1+0.950651239669426i</v>
      </c>
      <c r="AK11" s="50">
        <f t="shared" si="40"/>
        <v>1.3797600441689186</v>
      </c>
      <c r="AL11" s="50">
        <f t="shared" si="41"/>
        <v>0.76010495089940411</v>
      </c>
      <c r="AM11" s="50" t="str">
        <f t="shared" si="12"/>
        <v>1+0.00114823757575758i</v>
      </c>
      <c r="AN11" s="50">
        <f t="shared" si="42"/>
        <v>1.0000006592245478</v>
      </c>
      <c r="AO11" s="50">
        <f t="shared" si="43"/>
        <v>1.1482370711268816E-3</v>
      </c>
      <c r="AP11" s="50" t="str">
        <f t="shared" si="13"/>
        <v>1-0.00330138205009584i</v>
      </c>
      <c r="AQ11" s="50">
        <f t="shared" si="44"/>
        <v>1.0000054495468715</v>
      </c>
      <c r="AR11" s="50">
        <f t="shared" si="45"/>
        <v>-3.3013700561174445E-3</v>
      </c>
      <c r="AS11" s="59" t="str">
        <f t="shared" si="46"/>
        <v>56.3728682352279-53.8224837985416i</v>
      </c>
      <c r="AT11" s="50">
        <f t="shared" si="47"/>
        <v>37.83529127142981</v>
      </c>
      <c r="AU11" s="61">
        <f t="shared" si="48"/>
        <v>-43.674171106304883</v>
      </c>
      <c r="AV11" s="56" t="str">
        <f t="shared" si="14"/>
        <v>-0.0000333333333333333</v>
      </c>
      <c r="AW11" s="56" t="str">
        <f t="shared" si="15"/>
        <v>0.0000612393373737374i</v>
      </c>
      <c r="AX11" s="56">
        <f t="shared" si="16"/>
        <v>6.1239337373737401E-5</v>
      </c>
      <c r="AY11" s="56">
        <f t="shared" si="17"/>
        <v>1.5707963267948966</v>
      </c>
      <c r="AZ11" s="56" t="str">
        <f t="shared" si="18"/>
        <v>1+0.0249847991021325i</v>
      </c>
      <c r="BA11" s="56">
        <f t="shared" si="19"/>
        <v>1.0003120713988081</v>
      </c>
      <c r="BB11" s="56">
        <f t="shared" si="20"/>
        <v>2.4979602209911383E-2</v>
      </c>
      <c r="BC11" s="56" t="str">
        <f t="shared" si="21"/>
        <v>1+1.19927035690236i</v>
      </c>
      <c r="BD11" s="56">
        <f t="shared" si="22"/>
        <v>1.5614894776926016</v>
      </c>
      <c r="BE11" s="56">
        <f t="shared" si="23"/>
        <v>0.87575890920654675</v>
      </c>
      <c r="BF11" s="62" t="str">
        <f t="shared" si="24"/>
        <v>-0.638779488913659+0.560272220196713i</v>
      </c>
      <c r="BG11" s="56">
        <f t="shared" si="25"/>
        <v>-1.4149637061223248</v>
      </c>
      <c r="BH11" s="63">
        <f t="shared" si="26"/>
        <v>138.7460635879722</v>
      </c>
      <c r="BI11" s="62" t="str">
        <f t="shared" si="27"/>
        <v>-0.631624746490814+11.1453350458876i</v>
      </c>
      <c r="BJ11" s="65">
        <f t="shared" si="28"/>
        <v>20.955788361774719</v>
      </c>
      <c r="BK11" s="63">
        <f t="shared" si="29"/>
        <v>93.243578018244278</v>
      </c>
      <c r="BL11" s="82" t="str">
        <f t="shared" si="49"/>
        <v>-5.85458946558541+65.964850737904i</v>
      </c>
      <c r="BM11" s="65">
        <f t="shared" si="30"/>
        <v>36.420327565307488</v>
      </c>
      <c r="BN11" s="63">
        <f t="shared" si="31"/>
        <v>95.071892481667319</v>
      </c>
      <c r="BO11" s="59">
        <f t="shared" si="50"/>
        <v>20.955788361774719</v>
      </c>
      <c r="BP11" s="61">
        <f t="shared" si="51"/>
        <v>93.243578018244278</v>
      </c>
    </row>
    <row r="12" spans="1:68" s="32" customFormat="1" ht="15.75" thickBot="1" x14ac:dyDescent="0.3">
      <c r="A12" s="32" t="s">
        <v>21</v>
      </c>
      <c r="B12" s="3">
        <f>VIN_max</f>
        <v>16</v>
      </c>
      <c r="C12" s="32" t="s">
        <v>5</v>
      </c>
      <c r="E12" s="32" t="s">
        <v>24</v>
      </c>
      <c r="N12" s="198" t="s">
        <v>190</v>
      </c>
      <c r="O12" s="76">
        <f>wz_ea/(2*PI())</f>
        <v>169.31376924669715</v>
      </c>
      <c r="P12" s="72" t="str">
        <f t="shared" si="32"/>
        <v>37.1583961085025</v>
      </c>
      <c r="Q12" s="73" t="str">
        <f t="shared" si="33"/>
        <v>1+0.833840338206087i</v>
      </c>
      <c r="R12" s="73">
        <f t="shared" si="0"/>
        <v>1.3020329141844462</v>
      </c>
      <c r="S12" s="73">
        <f t="shared" si="1"/>
        <v>0.69503741758834914</v>
      </c>
      <c r="T12" s="73" t="str">
        <f t="shared" si="34"/>
        <v>1+0.000957446808510637i</v>
      </c>
      <c r="U12" s="73">
        <f t="shared" si="2"/>
        <v>1.0000004583520905</v>
      </c>
      <c r="V12" s="73">
        <f t="shared" si="3"/>
        <v>9.5744651594556669E-4</v>
      </c>
      <c r="W12" s="74" t="str">
        <f t="shared" si="35"/>
        <v>1-0.00838042996453896i</v>
      </c>
      <c r="X12" s="73">
        <f t="shared" si="4"/>
        <v>1.0000351151866571</v>
      </c>
      <c r="Y12" s="73">
        <f t="shared" si="5"/>
        <v>-8.3802337824529193E-3</v>
      </c>
      <c r="Z12" s="74" t="str">
        <f t="shared" si="36"/>
        <v>0.999999283321189+0.00201773049645389i</v>
      </c>
      <c r="AA12" s="73">
        <f t="shared" si="6"/>
        <v>1.0000013189387542</v>
      </c>
      <c r="AB12" s="73">
        <f t="shared" si="7"/>
        <v>2.0177292043011691E-3</v>
      </c>
      <c r="AC12" s="50" t="str">
        <f>IMDIV(IMSUM(COMPLEX(0,2*PI()*O12*Constants!$B$61*Constants!$B$62),COMPLEX(1,0)),IMSUM(COMPLEX(0,2*PI()*O12*Constants!$B$61*Constants!$B$62),COMPLEX(2,0)))</f>
        <v>0.500002263457386+0.00106382497136726i</v>
      </c>
      <c r="AD12" s="78">
        <f t="shared" si="37"/>
        <v>0.50000339517455161</v>
      </c>
      <c r="AE12" s="78">
        <f t="shared" si="38"/>
        <v>2.1276371005917033E-3</v>
      </c>
      <c r="AF12" s="339" t="str">
        <f t="shared" si="39"/>
        <v>10.8926328867044-9.21858849003248i</v>
      </c>
      <c r="AG12" s="75">
        <f t="shared" si="8"/>
        <v>23.088456534358386</v>
      </c>
      <c r="AH12" s="76">
        <f t="shared" si="9"/>
        <v>-40.241707755485898</v>
      </c>
      <c r="AI12" s="59" t="str">
        <f t="shared" si="10"/>
        <v>107.538871525172</v>
      </c>
      <c r="AJ12" s="50" t="str">
        <f t="shared" si="11"/>
        <v>1+0.79269135120199i</v>
      </c>
      <c r="AK12" s="50">
        <f t="shared" si="40"/>
        <v>1.2760719330313777</v>
      </c>
      <c r="AL12" s="50">
        <f t="shared" si="41"/>
        <v>0.67026853376143913</v>
      </c>
      <c r="AM12" s="50" t="str">
        <f t="shared" si="12"/>
        <v>1+0.000957446808510637i</v>
      </c>
      <c r="AN12" s="50">
        <f t="shared" si="42"/>
        <v>1.0000004583520905</v>
      </c>
      <c r="AO12" s="50">
        <f t="shared" si="43"/>
        <v>9.5744651594556669E-4</v>
      </c>
      <c r="AP12" s="50" t="str">
        <f t="shared" si="13"/>
        <v>1-0.00275282552519942i</v>
      </c>
      <c r="AQ12" s="50">
        <f t="shared" si="44"/>
        <v>1.0000037890170077</v>
      </c>
      <c r="AR12" s="50">
        <f t="shared" si="45"/>
        <v>-2.7528185715493736E-3</v>
      </c>
      <c r="AS12" s="59" t="str">
        <f t="shared" si="46"/>
        <v>65.9474167121936-52.4690198630225i</v>
      </c>
      <c r="AT12" s="50">
        <f t="shared" si="47"/>
        <v>38.513843257834175</v>
      </c>
      <c r="AU12" s="61">
        <f t="shared" si="48"/>
        <v>-38.506425366394232</v>
      </c>
      <c r="AV12" s="74" t="str">
        <f t="shared" si="14"/>
        <v>-0.0000333333333333333</v>
      </c>
      <c r="AW12" s="74" t="str">
        <f t="shared" si="15"/>
        <v>0.000051063829787234i</v>
      </c>
      <c r="AX12" s="74">
        <f t="shared" si="16"/>
        <v>5.1063829787234003E-5</v>
      </c>
      <c r="AY12" s="74">
        <f t="shared" si="17"/>
        <v>1.5707963267948966</v>
      </c>
      <c r="AZ12" s="74" t="str">
        <f t="shared" si="18"/>
        <v>1+0.0208333333333333i</v>
      </c>
      <c r="BA12" s="74">
        <f t="shared" si="19"/>
        <v>1.0002169903464837</v>
      </c>
      <c r="BB12" s="74">
        <f t="shared" si="20"/>
        <v>2.0830320036217053E-2</v>
      </c>
      <c r="BC12" s="74" t="str">
        <f t="shared" si="21"/>
        <v>1+i</v>
      </c>
      <c r="BD12" s="74">
        <f t="shared" si="22"/>
        <v>1.4142135623730951</v>
      </c>
      <c r="BE12" s="74">
        <f t="shared" si="23"/>
        <v>0.78539816339744828</v>
      </c>
      <c r="BF12" s="71" t="str">
        <f t="shared" si="24"/>
        <v>-0.638900939985539+0.666088214027476i</v>
      </c>
      <c r="BG12" s="74">
        <f t="shared" si="25"/>
        <v>-0.69627736301613474</v>
      </c>
      <c r="BH12" s="76">
        <f t="shared" si="26"/>
        <v>133.80651057601801</v>
      </c>
      <c r="BI12" s="71" t="str">
        <f t="shared" si="27"/>
        <v>-0.818920247052854+13.1452192371835i</v>
      </c>
      <c r="BJ12" s="75">
        <f t="shared" si="28"/>
        <v>22.392179171342249</v>
      </c>
      <c r="BK12" s="76">
        <f t="shared" si="29"/>
        <v>93.564802820532108</v>
      </c>
      <c r="BL12" s="82" t="str">
        <f t="shared" si="49"/>
        <v>-7.18487079470572+77.4493031281557i</v>
      </c>
      <c r="BM12" s="75">
        <f t="shared" si="30"/>
        <v>37.817565894818031</v>
      </c>
      <c r="BN12" s="76">
        <f t="shared" si="31"/>
        <v>95.300085209623774</v>
      </c>
      <c r="BO12" s="59">
        <f t="shared" si="50"/>
        <v>22.392179171342249</v>
      </c>
      <c r="BP12" s="61">
        <f t="shared" si="51"/>
        <v>93.564802820532108</v>
      </c>
    </row>
    <row r="13" spans="1:68" s="32" customFormat="1" ht="15.75" thickBot="1" x14ac:dyDescent="0.3">
      <c r="A13" s="32" t="s">
        <v>47</v>
      </c>
      <c r="B13" s="3">
        <f>Fsw</f>
        <v>400000</v>
      </c>
      <c r="C13" s="32" t="s">
        <v>48</v>
      </c>
      <c r="E13" s="32" t="s">
        <v>49</v>
      </c>
      <c r="N13" s="199" t="s">
        <v>196</v>
      </c>
      <c r="O13" s="63">
        <f>wp1_ea/(2*PI())</f>
        <v>8127.0609238414627</v>
      </c>
      <c r="P13" s="79" t="str">
        <f t="shared" si="32"/>
        <v>37.1583961085025</v>
      </c>
      <c r="Q13" s="55" t="str">
        <f t="shared" si="33"/>
        <v>1+40.0243362338923i</v>
      </c>
      <c r="R13" s="55">
        <f t="shared" si="0"/>
        <v>40.036826684487174</v>
      </c>
      <c r="S13" s="55">
        <f t="shared" si="1"/>
        <v>1.5458167245849852</v>
      </c>
      <c r="T13" s="55" t="str">
        <f t="shared" si="34"/>
        <v>1+0.0459574468085106i</v>
      </c>
      <c r="U13" s="55">
        <f t="shared" si="2"/>
        <v>1.0010554864327736</v>
      </c>
      <c r="V13" s="55">
        <f t="shared" si="3"/>
        <v>4.5925132375121691E-2</v>
      </c>
      <c r="W13" s="56" t="str">
        <f t="shared" si="35"/>
        <v>1-0.402260638297871i</v>
      </c>
      <c r="X13" s="55">
        <f t="shared" si="4"/>
        <v>1.0778745850625715</v>
      </c>
      <c r="Y13" s="55">
        <f t="shared" si="5"/>
        <v>-0.38245368278384118</v>
      </c>
      <c r="Z13" s="56" t="str">
        <f t="shared" si="36"/>
        <v>0.998348772018504+0.0968510638297871i</v>
      </c>
      <c r="AA13" s="55">
        <f t="shared" si="6"/>
        <v>1.003035592168003</v>
      </c>
      <c r="AB13" s="55">
        <f t="shared" si="7"/>
        <v>9.6708628307926189E-2</v>
      </c>
      <c r="AC13" s="56" t="str">
        <f>IMDIV(IMSUM(COMPLEX(0,2*PI()*O13*Constants!$B$61*Constants!$B$62),COMPLEX(1,0)),IMSUM(COMPLEX(0,2*PI()*O13*Constants!$B$61*Constants!$B$62),COMPLEX(2,0)))</f>
        <v>0.505161197827996+0.0505367287324599i</v>
      </c>
      <c r="AD13" s="55">
        <f t="shared" si="37"/>
        <v>0.50768277176007648</v>
      </c>
      <c r="AE13" s="55">
        <f t="shared" si="38"/>
        <v>9.9709045178307296E-2</v>
      </c>
      <c r="AF13" s="340" t="str">
        <f t="shared" si="39"/>
        <v>-0.153925401034635-0.482936787004466i</v>
      </c>
      <c r="AG13" s="65">
        <f t="shared" si="8"/>
        <v>-5.9020044812422032</v>
      </c>
      <c r="AH13" s="63">
        <f t="shared" si="9"/>
        <v>-107.67852862007891</v>
      </c>
      <c r="AI13" s="62" t="str">
        <f t="shared" si="10"/>
        <v>107.538871525172</v>
      </c>
      <c r="AJ13" s="56" t="str">
        <f t="shared" si="11"/>
        <v>1+38.0491848576956i</v>
      </c>
      <c r="AK13" s="56">
        <f t="shared" si="40"/>
        <v>38.062323475256896</v>
      </c>
      <c r="AL13" s="56">
        <f t="shared" si="41"/>
        <v>1.5445206035364831</v>
      </c>
      <c r="AM13" s="56" t="str">
        <f t="shared" si="12"/>
        <v>1+0.0459574468085106i</v>
      </c>
      <c r="AN13" s="56">
        <f t="shared" si="42"/>
        <v>1.0010554864327736</v>
      </c>
      <c r="AO13" s="56">
        <f t="shared" si="43"/>
        <v>4.5925132375121691E-2</v>
      </c>
      <c r="AP13" s="56" t="str">
        <f t="shared" si="13"/>
        <v>1-0.132135625209572i</v>
      </c>
      <c r="AQ13" s="56">
        <f t="shared" si="44"/>
        <v>1.0086921351183047</v>
      </c>
      <c r="AR13" s="56">
        <f t="shared" si="45"/>
        <v>-0.13137456070949607</v>
      </c>
      <c r="AS13" s="62" t="str">
        <f t="shared" si="46"/>
        <v>-0.168718322239381-2.84790942357862i</v>
      </c>
      <c r="AT13" s="56">
        <f t="shared" si="47"/>
        <v>9.1057392760919686</v>
      </c>
      <c r="AU13" s="63">
        <f t="shared" si="48"/>
        <v>-93.390403559004412</v>
      </c>
      <c r="AV13" s="56" t="str">
        <f t="shared" si="14"/>
        <v>-0.0000333333333333333</v>
      </c>
      <c r="AW13" s="56" t="str">
        <f t="shared" si="15"/>
        <v>0.00245106382978723i</v>
      </c>
      <c r="AX13" s="56">
        <f t="shared" si="16"/>
        <v>2.4510638297872301E-3</v>
      </c>
      <c r="AY13" s="56">
        <f t="shared" si="17"/>
        <v>1.5707963267948966</v>
      </c>
      <c r="AZ13" s="56" t="str">
        <f t="shared" si="18"/>
        <v>1+i</v>
      </c>
      <c r="BA13" s="56">
        <f t="shared" si="19"/>
        <v>1.4142135623730951</v>
      </c>
      <c r="BB13" s="56">
        <f t="shared" si="20"/>
        <v>0.78539816339744828</v>
      </c>
      <c r="BC13" s="56" t="str">
        <f t="shared" si="21"/>
        <v>1+48.0000000000001i</v>
      </c>
      <c r="BD13" s="56">
        <f t="shared" si="22"/>
        <v>48.010415536631321</v>
      </c>
      <c r="BE13" s="56">
        <f t="shared" si="23"/>
        <v>1.5499660067586796</v>
      </c>
      <c r="BF13" s="62" t="str">
        <f t="shared" si="24"/>
        <v>-0.319589120370371+0.333188657407408i</v>
      </c>
      <c r="BG13" s="56">
        <f t="shared" si="25"/>
        <v>-6.7131081768058909</v>
      </c>
      <c r="BH13" s="63">
        <f t="shared" si="26"/>
        <v>133.80651057601796</v>
      </c>
      <c r="BI13" s="62" t="str">
        <f t="shared" si="27"/>
        <v>0.210101943193981+0.103055145241624i</v>
      </c>
      <c r="BJ13" s="65">
        <f t="shared" si="28"/>
        <v>-12.615112658048087</v>
      </c>
      <c r="BK13" s="63">
        <f t="shared" si="29"/>
        <v>26.127981955939148</v>
      </c>
      <c r="BL13" s="82" t="str">
        <f t="shared" si="49"/>
        <v>1.00281165745491+0.853945836309012i</v>
      </c>
      <c r="BM13" s="65">
        <f t="shared" si="30"/>
        <v>2.3926310992860591</v>
      </c>
      <c r="BN13" s="63">
        <f t="shared" si="31"/>
        <v>40.41610701701368</v>
      </c>
      <c r="BO13" s="62">
        <f t="shared" si="50"/>
        <v>-12.615112658048087</v>
      </c>
      <c r="BP13" s="63">
        <f t="shared" si="51"/>
        <v>26.127981955939148</v>
      </c>
    </row>
    <row r="14" spans="1:68" s="32" customFormat="1" x14ac:dyDescent="0.25">
      <c r="B14" s="27"/>
      <c r="O14" s="51"/>
    </row>
    <row r="15" spans="1:68" ht="15.75" thickBot="1" x14ac:dyDescent="0.3">
      <c r="A15" s="68" t="s">
        <v>376</v>
      </c>
      <c r="N15" s="32"/>
      <c r="O15" s="51" t="s">
        <v>160</v>
      </c>
      <c r="P15" s="32">
        <f>B16</f>
        <v>14.4</v>
      </c>
      <c r="Q15" s="32" t="s">
        <v>5</v>
      </c>
      <c r="R15" s="32"/>
      <c r="S15" s="32"/>
      <c r="T15" s="32"/>
      <c r="U15" s="32"/>
      <c r="V15" s="32"/>
      <c r="W15" s="32"/>
      <c r="X15" s="32"/>
      <c r="Y15" s="32"/>
      <c r="Z15" s="32"/>
      <c r="AA15" s="32"/>
      <c r="AB15" s="32"/>
      <c r="AG15" s="32"/>
      <c r="AH15" s="32"/>
      <c r="AV15" s="32"/>
      <c r="AW15" s="32"/>
      <c r="AX15" s="32"/>
      <c r="AY15" s="32"/>
      <c r="AZ15" s="32"/>
      <c r="BA15" s="32"/>
      <c r="BB15" s="32"/>
      <c r="BC15" s="32"/>
      <c r="BD15" s="32"/>
      <c r="BE15" s="32"/>
      <c r="BG15" s="32"/>
      <c r="BH15" s="32"/>
      <c r="BJ15" s="32"/>
      <c r="BK15" s="32"/>
      <c r="BL15" s="32"/>
    </row>
    <row r="16" spans="1:68" ht="15.75" thickBot="1" x14ac:dyDescent="0.3">
      <c r="A16" t="s">
        <v>162</v>
      </c>
      <c r="B16" s="44">
        <f>VIN_var</f>
        <v>14.4</v>
      </c>
      <c r="C16" t="s">
        <v>5</v>
      </c>
      <c r="E16" t="s">
        <v>163</v>
      </c>
      <c r="F16" s="32"/>
      <c r="G16" s="32"/>
      <c r="N16" s="32"/>
      <c r="O16" s="67"/>
      <c r="P16" s="371" t="s">
        <v>374</v>
      </c>
      <c r="Q16" s="371"/>
      <c r="R16" s="371"/>
      <c r="S16" s="371"/>
      <c r="T16" s="371"/>
      <c r="U16" s="371"/>
      <c r="V16" s="371"/>
      <c r="W16" s="371"/>
      <c r="X16" s="371"/>
      <c r="Y16" s="371"/>
      <c r="Z16" s="371"/>
      <c r="AA16" s="371"/>
      <c r="AB16" s="371"/>
      <c r="AC16" s="371"/>
      <c r="AD16" s="371"/>
      <c r="AE16" s="371"/>
      <c r="AF16" s="371"/>
      <c r="AG16" s="371"/>
      <c r="AH16" s="372"/>
      <c r="AI16" s="375" t="s">
        <v>375</v>
      </c>
      <c r="AJ16" s="371"/>
      <c r="AK16" s="371"/>
      <c r="AL16" s="371"/>
      <c r="AM16" s="371"/>
      <c r="AN16" s="371"/>
      <c r="AO16" s="371"/>
      <c r="AP16" s="371"/>
      <c r="AQ16" s="371"/>
      <c r="AR16" s="371"/>
      <c r="AS16" s="371"/>
      <c r="AT16" s="371"/>
      <c r="AU16" s="372"/>
      <c r="AV16" s="375" t="s">
        <v>189</v>
      </c>
      <c r="AW16" s="371"/>
      <c r="AX16" s="371"/>
      <c r="AY16" s="371"/>
      <c r="AZ16" s="371"/>
      <c r="BA16" s="371"/>
      <c r="BB16" s="371"/>
      <c r="BC16" s="371"/>
      <c r="BD16" s="371"/>
      <c r="BE16" s="371"/>
      <c r="BF16" s="371"/>
      <c r="BG16" s="371"/>
      <c r="BH16" s="372"/>
      <c r="BI16" s="375" t="s">
        <v>402</v>
      </c>
      <c r="BJ16" s="371"/>
      <c r="BK16" s="372"/>
      <c r="BL16" s="375" t="s">
        <v>403</v>
      </c>
      <c r="BM16" s="371"/>
      <c r="BN16" s="372"/>
      <c r="BO16" s="375" t="s">
        <v>404</v>
      </c>
      <c r="BP16" s="372"/>
    </row>
    <row r="17" spans="1:68" x14ac:dyDescent="0.25">
      <c r="A17" t="s">
        <v>316</v>
      </c>
      <c r="B17" s="44">
        <f>IOUT</f>
        <v>11</v>
      </c>
      <c r="C17" t="s">
        <v>6</v>
      </c>
      <c r="E17" t="s">
        <v>395</v>
      </c>
      <c r="N17" s="32"/>
      <c r="O17" s="53"/>
      <c r="P17" s="50"/>
      <c r="Q17" s="370" t="s">
        <v>181</v>
      </c>
      <c r="R17" s="370"/>
      <c r="S17" s="370"/>
      <c r="T17" s="368" t="s">
        <v>183</v>
      </c>
      <c r="U17" s="368"/>
      <c r="V17" s="368"/>
      <c r="W17" s="368" t="s">
        <v>220</v>
      </c>
      <c r="X17" s="368"/>
      <c r="Y17" s="368"/>
      <c r="Z17" s="368" t="s">
        <v>186</v>
      </c>
      <c r="AA17" s="368"/>
      <c r="AB17" s="368"/>
      <c r="AC17" s="373" t="s">
        <v>748</v>
      </c>
      <c r="AD17" s="373"/>
      <c r="AE17" s="374"/>
      <c r="AF17" s="367" t="s">
        <v>188</v>
      </c>
      <c r="AG17" s="368"/>
      <c r="AH17" s="369"/>
      <c r="AI17" s="169"/>
      <c r="AJ17" s="370" t="s">
        <v>181</v>
      </c>
      <c r="AK17" s="370"/>
      <c r="AL17" s="370"/>
      <c r="AM17" s="376" t="s">
        <v>183</v>
      </c>
      <c r="AN17" s="376"/>
      <c r="AO17" s="376"/>
      <c r="AP17" s="368" t="s">
        <v>220</v>
      </c>
      <c r="AQ17" s="368"/>
      <c r="AR17" s="368"/>
      <c r="AS17" s="377" t="s">
        <v>188</v>
      </c>
      <c r="AT17" s="376"/>
      <c r="AU17" s="378"/>
      <c r="AV17" s="50"/>
      <c r="AW17" s="368" t="s">
        <v>195</v>
      </c>
      <c r="AX17" s="368"/>
      <c r="AY17" s="368"/>
      <c r="AZ17" s="368" t="s">
        <v>196</v>
      </c>
      <c r="BA17" s="368"/>
      <c r="BB17" s="368"/>
      <c r="BC17" s="368" t="s">
        <v>190</v>
      </c>
      <c r="BD17" s="368"/>
      <c r="BE17" s="368"/>
      <c r="BF17" s="367" t="s">
        <v>188</v>
      </c>
      <c r="BG17" s="368"/>
      <c r="BH17" s="369"/>
      <c r="BI17" s="367" t="s">
        <v>188</v>
      </c>
      <c r="BJ17" s="368"/>
      <c r="BK17" s="369"/>
      <c r="BL17" s="367" t="s">
        <v>188</v>
      </c>
      <c r="BM17" s="368"/>
      <c r="BN17" s="369"/>
      <c r="BO17" s="50"/>
      <c r="BP17" s="61"/>
    </row>
    <row r="18" spans="1:68" ht="15.75" thickBot="1" x14ac:dyDescent="0.3">
      <c r="N18" s="11"/>
      <c r="O18" s="54" t="s">
        <v>159</v>
      </c>
      <c r="P18" s="55" t="s">
        <v>164</v>
      </c>
      <c r="Q18" s="56" t="s">
        <v>187</v>
      </c>
      <c r="R18" s="55" t="s">
        <v>184</v>
      </c>
      <c r="S18" s="55" t="s">
        <v>185</v>
      </c>
      <c r="T18" s="55" t="s">
        <v>187</v>
      </c>
      <c r="U18" s="55" t="s">
        <v>184</v>
      </c>
      <c r="V18" s="55" t="s">
        <v>185</v>
      </c>
      <c r="W18" s="57" t="s">
        <v>187</v>
      </c>
      <c r="X18" s="55" t="s">
        <v>184</v>
      </c>
      <c r="Y18" s="55" t="s">
        <v>185</v>
      </c>
      <c r="Z18" s="57" t="s">
        <v>187</v>
      </c>
      <c r="AA18" s="57" t="s">
        <v>184</v>
      </c>
      <c r="AB18" s="57" t="s">
        <v>185</v>
      </c>
      <c r="AC18" s="57" t="s">
        <v>187</v>
      </c>
      <c r="AD18" s="57" t="s">
        <v>184</v>
      </c>
      <c r="AE18" s="57" t="s">
        <v>185</v>
      </c>
      <c r="AF18" s="60" t="s">
        <v>199</v>
      </c>
      <c r="AG18" s="57" t="s">
        <v>184</v>
      </c>
      <c r="AH18" s="58" t="s">
        <v>185</v>
      </c>
      <c r="AI18" s="172" t="s">
        <v>164</v>
      </c>
      <c r="AJ18" s="173" t="s">
        <v>187</v>
      </c>
      <c r="AK18" s="173" t="s">
        <v>198</v>
      </c>
      <c r="AL18" s="173" t="s">
        <v>185</v>
      </c>
      <c r="AM18" s="173" t="s">
        <v>187</v>
      </c>
      <c r="AN18" s="173" t="s">
        <v>198</v>
      </c>
      <c r="AO18" s="173" t="s">
        <v>185</v>
      </c>
      <c r="AP18" s="173" t="s">
        <v>187</v>
      </c>
      <c r="AQ18" s="173" t="s">
        <v>198</v>
      </c>
      <c r="AR18" s="173" t="s">
        <v>185</v>
      </c>
      <c r="AS18" s="60" t="s">
        <v>199</v>
      </c>
      <c r="AT18" s="57" t="s">
        <v>184</v>
      </c>
      <c r="AU18" s="58" t="s">
        <v>185</v>
      </c>
      <c r="AV18" s="55" t="s">
        <v>197</v>
      </c>
      <c r="AW18" s="57" t="s">
        <v>187</v>
      </c>
      <c r="AX18" s="57" t="s">
        <v>198</v>
      </c>
      <c r="AY18" s="57" t="s">
        <v>185</v>
      </c>
      <c r="AZ18" s="57" t="s">
        <v>187</v>
      </c>
      <c r="BA18" s="57" t="s">
        <v>198</v>
      </c>
      <c r="BB18" s="57" t="s">
        <v>185</v>
      </c>
      <c r="BC18" s="57" t="s">
        <v>187</v>
      </c>
      <c r="BD18" s="57" t="s">
        <v>198</v>
      </c>
      <c r="BE18" s="57" t="s">
        <v>185</v>
      </c>
      <c r="BF18" s="60" t="s">
        <v>199</v>
      </c>
      <c r="BG18" s="57" t="s">
        <v>184</v>
      </c>
      <c r="BH18" s="58" t="s">
        <v>185</v>
      </c>
      <c r="BI18" s="60" t="s">
        <v>199</v>
      </c>
      <c r="BJ18" s="57" t="s">
        <v>184</v>
      </c>
      <c r="BK18" s="58" t="s">
        <v>185</v>
      </c>
      <c r="BL18" s="60" t="s">
        <v>199</v>
      </c>
      <c r="BM18" s="57" t="s">
        <v>184</v>
      </c>
      <c r="BN18" s="58" t="s">
        <v>185</v>
      </c>
      <c r="BO18" s="80" t="s">
        <v>405</v>
      </c>
      <c r="BP18" s="81" t="s">
        <v>406</v>
      </c>
    </row>
    <row r="19" spans="1:68" x14ac:dyDescent="0.25">
      <c r="A19" t="s">
        <v>25</v>
      </c>
      <c r="B19" s="44">
        <f>VOUT</f>
        <v>45</v>
      </c>
      <c r="C19" t="s">
        <v>5</v>
      </c>
      <c r="E19" t="s">
        <v>139</v>
      </c>
      <c r="N19" s="11">
        <v>1</v>
      </c>
      <c r="O19" s="51">
        <f>10^(1+(N19/100))</f>
        <v>10.232929922807543</v>
      </c>
      <c r="P19" s="49" t="str">
        <f t="shared" ref="P19:P82" si="52">COMPLEX(Adc,0)</f>
        <v>37.1583961085025</v>
      </c>
      <c r="Q19" s="18" t="str">
        <f>IMSUM(COMPLEX(1,0),IMDIV(COMPLEX(0,2*PI()*O19),COMPLEX(wp_lf,0)))</f>
        <v>1+0.0503953682304518i</v>
      </c>
      <c r="R19" s="18">
        <f>IMABS(Q19)</f>
        <v>1.0012690413365843</v>
      </c>
      <c r="S19" s="18">
        <f>IMARGUMENT(Q19)</f>
        <v>5.0352770199546218E-2</v>
      </c>
      <c r="T19" s="18" t="str">
        <f t="shared" ref="T19:T82" si="53">IMSUM(COMPLEX(1,0),IMDIV(COMPLEX(0,2*PI()*O19),COMPLEX(wz_esr,0)))</f>
        <v>1+0.0000578658554463445i</v>
      </c>
      <c r="U19" s="18">
        <f>IMABS(T19)</f>
        <v>1.0000000016742285</v>
      </c>
      <c r="V19" s="18">
        <f>IMARGUMENT(T19)</f>
        <v>5.7865855381757385E-5</v>
      </c>
      <c r="W19" s="32" t="str">
        <f t="shared" ref="W19:W82" si="54">IMSUB(COMPLEX(1,0),IMDIV(COMPLEX(0,2*PI()*O19),COMPLEX(wz_rhp,0)))</f>
        <v>1-0.000506493671079836i</v>
      </c>
      <c r="X19" s="18">
        <f>IMABS(W19)</f>
        <v>1.0000001282679112</v>
      </c>
      <c r="Y19" s="18">
        <f>IMARGUMENT(W19)</f>
        <v>-5.0649362776858311E-4</v>
      </c>
      <c r="Z19" s="32" t="str">
        <f>IMSUM(COMPLEX(1,0),IMDIV(COMPLEX(0,2*PI()*O19),COMPLEX(Q*(wsl/2),0)),IMDIV(IMPOWER(COMPLEX(0,2*PI()*O19),2),IMPOWER(COMPLEX(wsl/2,0),2)))</f>
        <v>0.999999997382179+0.000121946932403592i</v>
      </c>
      <c r="AA19" s="18">
        <f>IMABS(Z19)</f>
        <v>1.000000004817706</v>
      </c>
      <c r="AB19" s="18">
        <f>IMARGUMENT(Z19)</f>
        <v>1.2194693211833408E-4</v>
      </c>
      <c r="AC19" s="32" t="str">
        <f>IMDIV(IMSUM(COMPLEX(0,2*PI()*O19*Constants!$B$61*Constants!$B$62),COMPLEX(1,0)),IMSUM(COMPLEX(0,2*PI()*O19*Constants!$B$61*Constants!$B$62),COMPLEX(2,0)))</f>
        <v>0.500000008267795+0.0000642953938772204i</v>
      </c>
      <c r="AD19" s="18">
        <f>IMABS(AC19)</f>
        <v>0.50000001240169267</v>
      </c>
      <c r="AE19" s="18">
        <f>IMARGUMENT(AC19)</f>
        <v>1.2859078491934145E-4</v>
      </c>
      <c r="AF19" s="66" t="str">
        <f>(IMDIV(IMPRODUCT(P19,T19,W19,AC19),IMPRODUCT(Q19,Z19)))</f>
        <v>18.5317203101061-0.942124576714121i</v>
      </c>
      <c r="AG19" s="64">
        <f>20*LOG(IMABS(AF19))</f>
        <v>25.369524824175414</v>
      </c>
      <c r="AH19" s="61">
        <f>(180/PI())*IMARGUMENT(AF19)</f>
        <v>-2.9103250324310141</v>
      </c>
      <c r="AI19" s="50" t="str">
        <f t="shared" ref="AI19:AI82" si="55">COMPLEX($B$72,0)</f>
        <v>107.538871525172</v>
      </c>
      <c r="AJ19" s="50" t="str">
        <f t="shared" ref="AJ19:AJ82" si="56">IMSUM(COMPLEX(1,0),IMDIV(COMPLEX(0,2*PI()*O19),COMPLEX(wp_lf_DCM,0)))</f>
        <v>1+0.0479084192818762i</v>
      </c>
      <c r="AK19" s="50">
        <f>IMABS(AJ19)</f>
        <v>1.0011469505712376</v>
      </c>
      <c r="AL19" s="50">
        <f>IMARGUMENT(AJ19)</f>
        <v>4.7871816275420274E-2</v>
      </c>
      <c r="AM19" s="50" t="str">
        <f t="shared" ref="AM19:AM82" si="57">IMSUM(COMPLEX(1,0),IMDIV(COMPLEX(0,2*PI()*O19),COMPLEX(wz1_dcm,0)))</f>
        <v>1+0.0000578658554463445i</v>
      </c>
      <c r="AN19" s="50">
        <f>IMABS(AM19)</f>
        <v>1.0000000016742285</v>
      </c>
      <c r="AO19" s="50">
        <f>IMARGUMENT(AM19)</f>
        <v>5.7865855381757385E-5</v>
      </c>
      <c r="AP19" s="50" t="str">
        <f t="shared" ref="AP19:AP82" si="58">IMSUB(COMPLEX(1,0),IMDIV(COMPLEX(0,2*PI()*O19),COMPLEX(wz2_dcm,0)))</f>
        <v>1-0.000166374364083984i</v>
      </c>
      <c r="AQ19" s="50">
        <f>IMABS(AP19)</f>
        <v>1.0000000138402145</v>
      </c>
      <c r="AR19" s="50">
        <f>IMARGUMENT(AP19)</f>
        <v>-1.6637436254887943E-4</v>
      </c>
      <c r="AS19" s="59" t="str">
        <f>(IMDIV(IMPRODUCT(AI19,AM19,AP19),IMPRODUCT(AJ19)))</f>
        <v>107.292055012972-5.15186163974535i</v>
      </c>
      <c r="AT19" s="50">
        <f>20*LOG(IMABS(AS19))</f>
        <v>40.621353054085688</v>
      </c>
      <c r="AU19" s="61">
        <f>(180/PI())*IMARGUMENT(AS19)</f>
        <v>-2.7490701097092014</v>
      </c>
      <c r="AV19" s="32" t="str">
        <f t="shared" ref="AV19:AV82" si="59">COMPLEX(Adc_ea,0)</f>
        <v>-0.0000333333333333333</v>
      </c>
      <c r="AW19" s="32" t="str">
        <f t="shared" ref="AW19:AW82" si="60">COMPLEX(0,2*PI()*O19*wp0_ea)</f>
        <v>3.08617895713837E-06i</v>
      </c>
      <c r="AX19" s="32">
        <f>IMABS(AW19)</f>
        <v>3.08617895713837E-6</v>
      </c>
      <c r="AY19" s="32">
        <f>IMARGUMENT(AW19)</f>
        <v>1.5707963267948966</v>
      </c>
      <c r="AZ19" s="32" t="str">
        <f t="shared" ref="AZ19:AZ82" si="61">IMSUM(COMPLEX(1,0),IMDIV(COMPLEX(0,2*PI()*O19),COMPLEX(wp1_ea,0)))</f>
        <v>1+0.00125911815091583i</v>
      </c>
      <c r="BA19" s="32">
        <f>IMABS(AZ19)</f>
        <v>1.0000007926889449</v>
      </c>
      <c r="BB19" s="32">
        <f>IMARGUMENT(AZ19)</f>
        <v>1.259117485523507E-3</v>
      </c>
      <c r="BC19" s="32" t="str">
        <f t="shared" ref="BC19:BC82" si="62">IMSUM(COMPLEX(1,0),IMDIV(COMPLEX(0,2*PI()*O19),COMPLEX(wz_ea,0)))</f>
        <v>1+0.0604376712439599i</v>
      </c>
      <c r="BD19" s="32">
        <f>IMABS(BC19)</f>
        <v>1.00182469130352</v>
      </c>
      <c r="BE19" s="32">
        <f>IMARGUMENT(BC19)</f>
        <v>6.0364244962156761E-2</v>
      </c>
      <c r="BF19" s="59" t="str">
        <f>IMPRODUCT(AV19,IMDIV(BC19,IMPRODUCT(AW19,AZ19)))</f>
        <v>-0.639177227402896+10.8016474585726i</v>
      </c>
      <c r="BG19" s="50">
        <f>20*LOG(IMABS(BF19))</f>
        <v>20.684980530750838</v>
      </c>
      <c r="BH19" s="61">
        <f>(180/PI())*IMARGUMENT(BF19)</f>
        <v>93.386474351993783</v>
      </c>
      <c r="BI19" s="59" t="str">
        <f>IMPRODUCT(AF19,BF19)</f>
        <v>-1.66855606709668+200.775294165448i</v>
      </c>
      <c r="BJ19" s="64">
        <f>20*LOG(IMABS(BI19))</f>
        <v>46.054505354926249</v>
      </c>
      <c r="BK19" s="61">
        <f>(180/PI())*IMARGUMENT(BI19)</f>
        <v>90.476149319562765</v>
      </c>
      <c r="BL19" s="59" t="str">
        <f>IMPRODUCT(AS19,BF19)</f>
        <v>-12.9300450576774+1162.22390599476i</v>
      </c>
      <c r="BM19" s="64">
        <f>20*LOG(IMABS(BL19))</f>
        <v>61.306333584836558</v>
      </c>
      <c r="BN19" s="61">
        <f>(180/PI())*IMARGUMENT(BL19)</f>
        <v>90.637404242284575</v>
      </c>
      <c r="BO19" s="50">
        <f>IF($B$31=0,BM19,BJ19)</f>
        <v>46.054505354926249</v>
      </c>
      <c r="BP19" s="61">
        <f>IF($B$31=0,BN19,BK19)</f>
        <v>90.476149319562765</v>
      </c>
    </row>
    <row r="20" spans="1:68" x14ac:dyDescent="0.25">
      <c r="A20" t="s">
        <v>26</v>
      </c>
      <c r="B20" s="44">
        <f>IOUT</f>
        <v>11</v>
      </c>
      <c r="C20" t="s">
        <v>6</v>
      </c>
      <c r="E20" t="s">
        <v>27</v>
      </c>
      <c r="N20" s="11">
        <v>2</v>
      </c>
      <c r="O20" s="51">
        <f t="shared" ref="O20:O83" si="63">10^(1+(N20/100))</f>
        <v>10.471285480509</v>
      </c>
      <c r="P20" s="49" t="str">
        <f t="shared" si="52"/>
        <v>37.1583961085025</v>
      </c>
      <c r="Q20" s="18" t="str">
        <f t="shared" ref="Q20:Q82" si="64">IMSUM(COMPLEX(1,0),IMDIV(COMPLEX(0,2*PI()*O20),COMPLEX(wp_lf,0)))</f>
        <v>1+0.0515692271536295i</v>
      </c>
      <c r="R20" s="18">
        <f t="shared" ref="R20:R83" si="65">IMABS(Q20)</f>
        <v>1.0013288097269661</v>
      </c>
      <c r="S20" s="18">
        <f t="shared" ref="S20:S83" si="66">IMARGUMENT(Q20)</f>
        <v>5.1523585811966137E-2</v>
      </c>
      <c r="T20" s="18" t="str">
        <f t="shared" si="53"/>
        <v>1+0.0000592137243705754i</v>
      </c>
      <c r="U20" s="18">
        <f t="shared" ref="U20:U83" si="67">IMABS(T20)</f>
        <v>1.0000000017531325</v>
      </c>
      <c r="V20" s="18">
        <f t="shared" ref="V20:V83" si="68">IMARGUMENT(T20)</f>
        <v>5.9213724301369062E-5</v>
      </c>
      <c r="W20" s="32" t="str">
        <f t="shared" si="54"/>
        <v>1-0.00051829142425055i</v>
      </c>
      <c r="X20" s="18">
        <f t="shared" ref="X20:X83" si="69">IMABS(W20)</f>
        <v>1.0000001343129912</v>
      </c>
      <c r="Y20" s="18">
        <f t="shared" ref="Y20:Y83" si="70">IMARGUMENT(W20)</f>
        <v>-5.1829137784170664E-4</v>
      </c>
      <c r="Z20" s="32" t="str">
        <f t="shared" ref="Z20:Z82" si="71">IMSUM(COMPLEX(1,0),IMDIV(COMPLEX(0,2*PI()*O20),COMPLEX(Q*(wsl/2),0)),IMDIV(IMPOWER(COMPLEX(0,2*PI()*O20),2),IMPOWER(COMPLEX(wsl/2,0),2)))</f>
        <v>0.999999997258805+0.000124787441358731i</v>
      </c>
      <c r="AA20" s="18">
        <f t="shared" ref="AA20:AA83" si="72">IMABS(Z20)</f>
        <v>1.0000000050447577</v>
      </c>
      <c r="AB20" s="18">
        <f t="shared" ref="AB20:AB83" si="73">IMARGUMENT(Z20)</f>
        <v>1.2478744105307162E-4</v>
      </c>
      <c r="AC20" s="32" t="str">
        <f>IMDIV(IMSUM(COMPLEX(0,2*PI()*O20*Constants!$B$61*Constants!$B$62),COMPLEX(1,0)),IMSUM(COMPLEX(0,2*PI()*O20*Constants!$B$61*Constants!$B$62),COMPLEX(2,0)))</f>
        <v>0.500000008657445+0.000065793025939218i</v>
      </c>
      <c r="AD20" s="18">
        <f t="shared" ref="AD20:AD83" si="74">IMABS(AC20)</f>
        <v>0.50000001298616714</v>
      </c>
      <c r="AE20" s="18">
        <f t="shared" ref="AE20:AE83" si="75">IMARGUMENT(AC20)</f>
        <v>1.3158604884057213E-4</v>
      </c>
      <c r="AF20" s="66" t="str">
        <f t="shared" ref="AF20:AF83" si="76">(IMDIV(IMPRODUCT(P20,T20,W20,AC20),IMPRODUCT(Q20,Z20)))</f>
        <v>18.5294886877027-0.963954394176314i</v>
      </c>
      <c r="AG20" s="64">
        <f t="shared" ref="AG20:AG83" si="77">20*LOG(IMABS(AF20))</f>
        <v>25.369006417357554</v>
      </c>
      <c r="AH20" s="61">
        <f t="shared" ref="AH20:AH83" si="78">(180/PI())*IMARGUMENT(AF20)</f>
        <v>-2.977997692889633</v>
      </c>
      <c r="AI20" s="50" t="str">
        <f t="shared" si="55"/>
        <v>107.538871525172</v>
      </c>
      <c r="AJ20" s="50" t="str">
        <f t="shared" si="56"/>
        <v>1+0.0490243497223921i</v>
      </c>
      <c r="AK20" s="50">
        <f t="shared" ref="AK20:AK83" si="79">IMABS(AJ20)</f>
        <v>1.0012009722656603</v>
      </c>
      <c r="AL20" s="50">
        <f t="shared" ref="AL20:AL83" si="80">IMARGUMENT(AJ20)</f>
        <v>4.8985131434833476E-2</v>
      </c>
      <c r="AM20" s="50" t="str">
        <f t="shared" si="57"/>
        <v>1+0.0000592137243705754i</v>
      </c>
      <c r="AN20" s="50">
        <f t="shared" ref="AN20:AN83" si="81">IMABS(AM20)</f>
        <v>1.0000000017531325</v>
      </c>
      <c r="AO20" s="50">
        <f t="shared" ref="AO20:AO83" si="82">IMARGUMENT(AM20)</f>
        <v>5.9213724301369062E-5</v>
      </c>
      <c r="AP20" s="50" t="str">
        <f t="shared" si="58"/>
        <v>1-0.000170249720862308i</v>
      </c>
      <c r="AQ20" s="50">
        <f t="shared" ref="AQ20:AQ83" si="83">IMABS(AP20)</f>
        <v>1.0000000144924837</v>
      </c>
      <c r="AR20" s="50">
        <f t="shared" ref="AR20:AR83" si="84">IMARGUMENT(AP20)</f>
        <v>-1.7024971921741382E-4</v>
      </c>
      <c r="AS20" s="59" t="str">
        <f t="shared" ref="AS20:AS83" si="85">(IMDIV(IMPRODUCT(AI20,AM20,AP20),IMPRODUCT(AJ20)))</f>
        <v>107.280450798533-5.27129502408457i</v>
      </c>
      <c r="AT20" s="50">
        <f t="shared" ref="AT20:AT83" si="86">20*LOG(IMABS(AS20))</f>
        <v>40.620884384168448</v>
      </c>
      <c r="AU20" s="61">
        <f t="shared" ref="AU20:AU83" si="87">(180/PI())*IMARGUMENT(AS20)</f>
        <v>-2.8130031839923109</v>
      </c>
      <c r="AV20" s="32" t="str">
        <f t="shared" si="59"/>
        <v>-0.0000333333333333333</v>
      </c>
      <c r="AW20" s="32" t="str">
        <f t="shared" si="60"/>
        <v>3.15806529976402E-06i</v>
      </c>
      <c r="AX20" s="32">
        <f t="shared" ref="AX20:AX83" si="88">IMABS(AW20)</f>
        <v>3.1580652997640198E-6</v>
      </c>
      <c r="AY20" s="32">
        <f t="shared" ref="AY20:AY83" si="89">IMARGUMENT(AW20)</f>
        <v>1.5707963267948966</v>
      </c>
      <c r="AZ20" s="32" t="str">
        <f t="shared" si="61"/>
        <v>1+0.00128844678028567i</v>
      </c>
      <c r="BA20" s="32">
        <f t="shared" ref="BA20:BA83" si="90">IMABS(AZ20)</f>
        <v>1.0000008300472083</v>
      </c>
      <c r="BB20" s="32">
        <f t="shared" ref="BB20:BB83" si="91">IMARGUMENT(AZ20)</f>
        <v>1.2884460673049823E-3</v>
      </c>
      <c r="BC20" s="32" t="str">
        <f t="shared" si="62"/>
        <v>1+0.0618454454537122i</v>
      </c>
      <c r="BD20" s="32">
        <f t="shared" ref="BD20:BD83" si="92">IMABS(BC20)</f>
        <v>1.0019106043571793</v>
      </c>
      <c r="BE20" s="32">
        <f t="shared" ref="BE20:BE83" si="93">IMARGUMENT(BC20)</f>
        <v>6.1766775876217157E-2</v>
      </c>
      <c r="BF20" s="59" t="str">
        <f t="shared" ref="BF20:BF83" si="94">IMPRODUCT(AV20,IMDIV(BC20,IMPRODUCT(AW20,AZ20)))</f>
        <v>-0.639177179645833+10.5558090097669i</v>
      </c>
      <c r="BG20" s="50">
        <f t="shared" ref="BG20:BG83" si="95">20*LOG(IMABS(BF20))</f>
        <v>20.485725046465141</v>
      </c>
      <c r="BH20" s="61">
        <f t="shared" ref="BH20:BH83" si="96">(180/PI())*IMARGUMENT(BF20)</f>
        <v>93.465153050050901</v>
      </c>
      <c r="BI20" s="59" t="str">
        <f t="shared" ref="BI20:BI83" si="97">IMPRODUCT(AF20,BF20)</f>
        <v>-1.66830784063445+196.209881287003i</v>
      </c>
      <c r="BJ20" s="64">
        <f t="shared" ref="BJ20:BJ83" si="98">20*LOG(IMABS(BI20))</f>
        <v>45.854731463822702</v>
      </c>
      <c r="BK20" s="61">
        <f t="shared" ref="BK20:BK83" si="99">(180/PI())*IMARGUMENT(BI20)</f>
        <v>90.487155357161257</v>
      </c>
      <c r="BL20" s="59" t="str">
        <f t="shared" ref="BL20:BL49" si="100">IMPRODUCT(AS20,BF20)</f>
        <v>-12.9284324641685+1135.80124059758i</v>
      </c>
      <c r="BM20" s="64">
        <f t="shared" ref="BM20:BM83" si="101">20*LOG(IMABS(BL20))</f>
        <v>61.106609430633569</v>
      </c>
      <c r="BN20" s="61">
        <f t="shared" ref="BN20:BN49" si="102">(180/PI())*IMARGUMENT(BL20)</f>
        <v>90.652149866058579</v>
      </c>
      <c r="BO20" s="50">
        <f t="shared" ref="BO20:BO83" si="103">IF($B$31=0,BM20,BJ20)</f>
        <v>45.854731463822702</v>
      </c>
      <c r="BP20" s="61">
        <f t="shared" ref="BP20:BP83" si="104">IF($B$31=0,BN20,BK20)</f>
        <v>90.487155357161257</v>
      </c>
    </row>
    <row r="21" spans="1:68" s="32" customFormat="1" x14ac:dyDescent="0.25">
      <c r="A21"/>
      <c r="B21"/>
      <c r="C21"/>
      <c r="D21"/>
      <c r="E21"/>
      <c r="F21"/>
      <c r="G21"/>
      <c r="N21" s="11">
        <v>3</v>
      </c>
      <c r="O21" s="51">
        <f t="shared" si="63"/>
        <v>10.715193052376069</v>
      </c>
      <c r="P21" s="49" t="str">
        <f t="shared" si="52"/>
        <v>37.1583961085025</v>
      </c>
      <c r="Q21" s="18" t="str">
        <f t="shared" si="64"/>
        <v>1+0.0527704287636435i</v>
      </c>
      <c r="R21" s="18">
        <f t="shared" si="65"/>
        <v>1.0013913910913648</v>
      </c>
      <c r="S21" s="18">
        <f t="shared" si="66"/>
        <v>5.2721526854210679E-2</v>
      </c>
      <c r="T21" s="18" t="str">
        <f t="shared" si="53"/>
        <v>1+0.000060592989195254i</v>
      </c>
      <c r="U21" s="18">
        <f t="shared" si="67"/>
        <v>1.0000000018357551</v>
      </c>
      <c r="V21" s="18">
        <f t="shared" si="68"/>
        <v>6.0592989121098075E-5</v>
      </c>
      <c r="W21" s="32" t="str">
        <f t="shared" si="54"/>
        <v>1-0.000530363982394799i</v>
      </c>
      <c r="X21" s="18">
        <f t="shared" si="69"/>
        <v>1.0000001406429671</v>
      </c>
      <c r="Y21" s="18">
        <f t="shared" si="70"/>
        <v>-5.3036393266682783E-4</v>
      </c>
      <c r="Z21" s="32" t="str">
        <f t="shared" si="71"/>
        <v>0.999999997129616+0.000127694114267035i</v>
      </c>
      <c r="AA21" s="18">
        <f t="shared" si="72"/>
        <v>1.0000000052825093</v>
      </c>
      <c r="AB21" s="18">
        <f t="shared" si="73"/>
        <v>1.2769411393951516E-4</v>
      </c>
      <c r="AC21" s="32" t="str">
        <f>IMDIV(IMSUM(COMPLEX(0,2*PI()*O21*Constants!$B$61*Constants!$B$62),COMPLEX(1,0)),IMSUM(COMPLEX(0,2*PI()*O21*Constants!$B$61*Constants!$B$62),COMPLEX(2,0)))</f>
        <v>0.500000009065457+0.0000673255423296083i</v>
      </c>
      <c r="AD21" s="18">
        <f t="shared" si="74"/>
        <v>0.50000001359818558</v>
      </c>
      <c r="AE21" s="18">
        <f t="shared" si="75"/>
        <v>1.3465108140408701E-4</v>
      </c>
      <c r="AF21" s="66" t="str">
        <f t="shared" si="76"/>
        <v>18.527152463159-0.986284492880775i</v>
      </c>
      <c r="AG21" s="64">
        <f t="shared" si="77"/>
        <v>25.368463645110879</v>
      </c>
      <c r="AH21" s="61">
        <f t="shared" si="78"/>
        <v>-3.0472382657610182</v>
      </c>
      <c r="AI21" s="50" t="str">
        <f t="shared" si="55"/>
        <v>107.538871525172</v>
      </c>
      <c r="AJ21" s="50" t="str">
        <f t="shared" si="56"/>
        <v>1+0.0501662735220448i</v>
      </c>
      <c r="AK21" s="50">
        <f t="shared" si="79"/>
        <v>1.0012575368001424</v>
      </c>
      <c r="AL21" s="50">
        <f t="shared" si="80"/>
        <v>5.0124253219832667E-2</v>
      </c>
      <c r="AM21" s="50" t="str">
        <f t="shared" si="57"/>
        <v>1+0.000060592989195254i</v>
      </c>
      <c r="AN21" s="50">
        <f t="shared" si="81"/>
        <v>1.0000000018357551</v>
      </c>
      <c r="AO21" s="50">
        <f t="shared" si="82"/>
        <v>6.0592989121098075E-5</v>
      </c>
      <c r="AP21" s="50" t="str">
        <f t="shared" si="58"/>
        <v>1-0.000174215346296154i</v>
      </c>
      <c r="AQ21" s="50">
        <f t="shared" si="83"/>
        <v>1.0000000151754933</v>
      </c>
      <c r="AR21" s="50">
        <f t="shared" si="84"/>
        <v>-1.7421534453361813E-4</v>
      </c>
      <c r="AS21" s="59" t="str">
        <f t="shared" si="85"/>
        <v>107.268302378284-5.39346981741704i</v>
      </c>
      <c r="AT21" s="50">
        <f t="shared" si="86"/>
        <v>40.620393680722287</v>
      </c>
      <c r="AU21" s="61">
        <f t="shared" si="87"/>
        <v>-2.8784182421648987</v>
      </c>
      <c r="AV21" s="32" t="str">
        <f t="shared" si="59"/>
        <v>-0.0000333333333333333</v>
      </c>
      <c r="AW21" s="32" t="str">
        <f t="shared" si="60"/>
        <v>3.23162609041354E-06i</v>
      </c>
      <c r="AX21" s="32">
        <f t="shared" si="88"/>
        <v>3.2316260904135398E-6</v>
      </c>
      <c r="AY21" s="32">
        <f t="shared" si="89"/>
        <v>1.5707963267948966</v>
      </c>
      <c r="AZ21" s="32" t="str">
        <f t="shared" si="61"/>
        <v>1+0.00131845856119303i</v>
      </c>
      <c r="BA21" s="32">
        <f t="shared" si="90"/>
        <v>1.0000008691661111</v>
      </c>
      <c r="BB21" s="32">
        <f t="shared" si="91"/>
        <v>1.3184577972204946E-3</v>
      </c>
      <c r="BC21" s="32" t="str">
        <f t="shared" si="62"/>
        <v>1+0.0632860109372653i</v>
      </c>
      <c r="BD21" s="32">
        <f t="shared" si="92"/>
        <v>1.0020005584730738</v>
      </c>
      <c r="BE21" s="32">
        <f t="shared" si="93"/>
        <v>6.3201724053401201E-2</v>
      </c>
      <c r="BF21" s="59" t="str">
        <f t="shared" si="94"/>
        <v>-0.639177129638059+10.3155673906151i</v>
      </c>
      <c r="BG21" s="50">
        <f t="shared" si="95"/>
        <v>20.286504513231471</v>
      </c>
      <c r="BH21" s="61">
        <f t="shared" si="96"/>
        <v>93.545649978963482</v>
      </c>
      <c r="BI21" s="59" t="str">
        <f t="shared" si="97"/>
        <v>-1.66804797913839+191.748500281083i</v>
      </c>
      <c r="BJ21" s="64">
        <f t="shared" si="98"/>
        <v>45.654968158342342</v>
      </c>
      <c r="BK21" s="61">
        <f t="shared" si="99"/>
        <v>90.498411713202458</v>
      </c>
      <c r="BL21" s="59" t="str">
        <f t="shared" si="100"/>
        <v>-12.9267442444849+1109.98078461675i</v>
      </c>
      <c r="BM21" s="64">
        <f t="shared" si="101"/>
        <v>60.906898193953737</v>
      </c>
      <c r="BN21" s="61">
        <f t="shared" si="102"/>
        <v>90.66723173679857</v>
      </c>
      <c r="BO21" s="50">
        <f t="shared" si="103"/>
        <v>45.654968158342342</v>
      </c>
      <c r="BP21" s="61">
        <f t="shared" si="104"/>
        <v>90.498411713202458</v>
      </c>
    </row>
    <row r="22" spans="1:68" x14ac:dyDescent="0.25">
      <c r="A22" t="s">
        <v>140</v>
      </c>
      <c r="N22" s="11">
        <v>4</v>
      </c>
      <c r="O22" s="51">
        <f t="shared" si="63"/>
        <v>10.964781961431854</v>
      </c>
      <c r="P22" s="49" t="str">
        <f t="shared" si="52"/>
        <v>37.1583961085025</v>
      </c>
      <c r="Q22" s="18" t="str">
        <f t="shared" si="64"/>
        <v>1+0.0539996099534871i</v>
      </c>
      <c r="R22" s="18">
        <f t="shared" si="65"/>
        <v>1.0014569176330697</v>
      </c>
      <c r="S22" s="18">
        <f t="shared" si="66"/>
        <v>5.3947214729710168E-2</v>
      </c>
      <c r="T22" s="18" t="str">
        <f t="shared" si="53"/>
        <v>1+0.0000620043812248468i</v>
      </c>
      <c r="U22" s="18">
        <f t="shared" si="67"/>
        <v>1.0000000019222717</v>
      </c>
      <c r="V22" s="18">
        <f t="shared" si="68"/>
        <v>6.200438114538729E-5</v>
      </c>
      <c r="W22" s="32" t="str">
        <f t="shared" si="54"/>
        <v>1-0.000542717746542711i</v>
      </c>
      <c r="X22" s="18">
        <f t="shared" si="69"/>
        <v>1.0000001472712654</v>
      </c>
      <c r="Y22" s="18">
        <f t="shared" si="70"/>
        <v>-5.427176932582303E-4</v>
      </c>
      <c r="Z22" s="32" t="str">
        <f t="shared" si="71"/>
        <v>0.999999996994339+0.000130668492284955i</v>
      </c>
      <c r="AA22" s="18">
        <f t="shared" si="72"/>
        <v>1.0000000055314664</v>
      </c>
      <c r="AB22" s="18">
        <f t="shared" si="73"/>
        <v>1.3066849193401115E-4</v>
      </c>
      <c r="AC22" s="32" t="str">
        <f>IMDIV(IMSUM(COMPLEX(0,2*PI()*O22*Constants!$B$61*Constants!$B$62),COMPLEX(1,0)),IMSUM(COMPLEX(0,2*PI()*O22*Constants!$B$61*Constants!$B$62),COMPLEX(2,0)))</f>
        <v>0.500000009492699+0.0000688937556085211i</v>
      </c>
      <c r="AD22" s="18">
        <f t="shared" si="74"/>
        <v>0.50000001423904838</v>
      </c>
      <c r="AE22" s="18">
        <f t="shared" si="75"/>
        <v>1.37787507729108E-4</v>
      </c>
      <c r="AF22" s="66" t="str">
        <f t="shared" si="76"/>
        <v>18.5247067615804-1.00912594304246i</v>
      </c>
      <c r="AG22" s="64">
        <f t="shared" si="77"/>
        <v>25.367895365509415</v>
      </c>
      <c r="AH22" s="61">
        <f t="shared" si="78"/>
        <v>-3.1180826748788677</v>
      </c>
      <c r="AI22" s="50" t="str">
        <f t="shared" si="55"/>
        <v>107.538871525172</v>
      </c>
      <c r="AJ22" s="50" t="str">
        <f t="shared" si="56"/>
        <v>1+0.051334796143948i</v>
      </c>
      <c r="AK22" s="50">
        <f t="shared" si="79"/>
        <v>1.0013167637142308</v>
      </c>
      <c r="AL22" s="50">
        <f t="shared" si="80"/>
        <v>5.1289773776168363E-2</v>
      </c>
      <c r="AM22" s="50" t="str">
        <f t="shared" si="57"/>
        <v>1+0.0000620043812248468i</v>
      </c>
      <c r="AN22" s="50">
        <f t="shared" si="81"/>
        <v>1.0000000019222717</v>
      </c>
      <c r="AO22" s="50">
        <f t="shared" si="82"/>
        <v>6.200438114538729E-5</v>
      </c>
      <c r="AP22" s="50" t="str">
        <f t="shared" si="58"/>
        <v>1-0.000178273343012619i</v>
      </c>
      <c r="AQ22" s="50">
        <f t="shared" si="83"/>
        <v>1.0000000158906923</v>
      </c>
      <c r="AR22" s="50">
        <f t="shared" si="84"/>
        <v>-1.7827334112402779E-4</v>
      </c>
      <c r="AS22" s="59" t="str">
        <f t="shared" si="85"/>
        <v>107.255584362537-5.51844699149494i</v>
      </c>
      <c r="AT22" s="50">
        <f t="shared" si="86"/>
        <v>40.61987991055463</v>
      </c>
      <c r="AU22" s="61">
        <f t="shared" si="87"/>
        <v>-2.9453492902503799</v>
      </c>
      <c r="AV22" s="32" t="str">
        <f t="shared" si="59"/>
        <v>-0.0000333333333333333</v>
      </c>
      <c r="AW22" s="32" t="str">
        <f t="shared" si="60"/>
        <v>3.30690033199183E-06i</v>
      </c>
      <c r="AX22" s="32">
        <f t="shared" si="88"/>
        <v>3.3069003319918299E-6</v>
      </c>
      <c r="AY22" s="32">
        <f t="shared" si="89"/>
        <v>1.5707963267948966</v>
      </c>
      <c r="AZ22" s="32" t="str">
        <f t="shared" si="61"/>
        <v>1+0.00134916940628139i</v>
      </c>
      <c r="BA22" s="32">
        <f t="shared" si="90"/>
        <v>1.0000009101286294</v>
      </c>
      <c r="BB22" s="32">
        <f t="shared" si="91"/>
        <v>1.3491685876701098E-3</v>
      </c>
      <c r="BC22" s="32" t="str">
        <f t="shared" si="62"/>
        <v>1+0.0647601315015068i</v>
      </c>
      <c r="BD22" s="32">
        <f t="shared" si="92"/>
        <v>1.0020947433412135</v>
      </c>
      <c r="BE22" s="32">
        <f t="shared" si="93"/>
        <v>6.4669826671548233E-2</v>
      </c>
      <c r="BF22" s="59" t="str">
        <f t="shared" si="94"/>
        <v>-0.639177077273496+10.0807952218302i</v>
      </c>
      <c r="BG22" s="50">
        <f t="shared" si="95"/>
        <v>20.087320565088827</v>
      </c>
      <c r="BH22" s="61">
        <f t="shared" si="96"/>
        <v>93.628006464197128</v>
      </c>
      <c r="BI22" s="59" t="str">
        <f t="shared" si="97"/>
        <v>-1.66777594036821+187.38878557882i</v>
      </c>
      <c r="BJ22" s="64">
        <f t="shared" si="98"/>
        <v>45.455215930598243</v>
      </c>
      <c r="BK22" s="61">
        <f t="shared" si="99"/>
        <v>90.509923789318265</v>
      </c>
      <c r="BL22" s="59" t="str">
        <f t="shared" si="100"/>
        <v>-12.9249768703218+1084.74884717558i</v>
      </c>
      <c r="BM22" s="64">
        <f t="shared" si="101"/>
        <v>60.70720047564344</v>
      </c>
      <c r="BN22" s="61">
        <f t="shared" si="102"/>
        <v>90.682657173946737</v>
      </c>
      <c r="BO22" s="50">
        <f t="shared" si="103"/>
        <v>45.455215930598243</v>
      </c>
      <c r="BP22" s="61">
        <f t="shared" si="104"/>
        <v>90.509923789318265</v>
      </c>
    </row>
    <row r="23" spans="1:68" x14ac:dyDescent="0.25">
      <c r="A23" t="s">
        <v>141</v>
      </c>
      <c r="B23" s="44">
        <f>Lm</f>
        <v>3.2999999999999997E-6</v>
      </c>
      <c r="C23" t="s">
        <v>65</v>
      </c>
      <c r="E23" t="s">
        <v>142</v>
      </c>
      <c r="N23" s="11">
        <v>5</v>
      </c>
      <c r="O23" s="51">
        <f t="shared" si="63"/>
        <v>11.220184543019636</v>
      </c>
      <c r="P23" s="49" t="str">
        <f t="shared" si="52"/>
        <v>37.1583961085025</v>
      </c>
      <c r="Q23" s="18" t="str">
        <f t="shared" si="64"/>
        <v>1+0.0552574224512974i</v>
      </c>
      <c r="R23" s="18">
        <f t="shared" si="65"/>
        <v>1.0015255277505217</v>
      </c>
      <c r="S23" s="18">
        <f t="shared" si="66"/>
        <v>5.5201284575135255E-2</v>
      </c>
      <c r="T23" s="18" t="str">
        <f t="shared" si="53"/>
        <v>1+0.0000634486487980901i</v>
      </c>
      <c r="U23" s="18">
        <f t="shared" si="67"/>
        <v>1.0000000020128654</v>
      </c>
      <c r="V23" s="18">
        <f t="shared" si="68"/>
        <v>6.3448648712947705E-5</v>
      </c>
      <c r="W23" s="32" t="str">
        <f t="shared" si="54"/>
        <v>1-0.000555359266823558i</v>
      </c>
      <c r="X23" s="18">
        <f t="shared" si="69"/>
        <v>1.0000001542119457</v>
      </c>
      <c r="Y23" s="18">
        <f t="shared" si="70"/>
        <v>-5.5535920972820871E-4</v>
      </c>
      <c r="Z23" s="32" t="str">
        <f t="shared" si="71"/>
        <v>0.999999996852686+0.000133712152467086i</v>
      </c>
      <c r="AA23" s="18">
        <f t="shared" si="72"/>
        <v>1.0000000057921559</v>
      </c>
      <c r="AB23" s="18">
        <f t="shared" si="73"/>
        <v>1.3371215209104296E-4</v>
      </c>
      <c r="AC23" s="32" t="str">
        <f>IMDIV(IMSUM(COMPLEX(0,2*PI()*O23*Constants!$B$61*Constants!$B$62),COMPLEX(1,0)),IMSUM(COMPLEX(0,2*PI()*O23*Constants!$B$61*Constants!$B$62),COMPLEX(2,0)))</f>
        <v>0.500000009940076+0.0000704984972630236i</v>
      </c>
      <c r="AD23" s="18">
        <f t="shared" si="74"/>
        <v>0.50000001491011403</v>
      </c>
      <c r="AE23" s="18">
        <f t="shared" si="75"/>
        <v>1.409969907886584E-4</v>
      </c>
      <c r="AF23" s="66" t="str">
        <f t="shared" si="76"/>
        <v>18.5221464835833-1.03249003149584i</v>
      </c>
      <c r="AG23" s="64">
        <f t="shared" si="77"/>
        <v>25.367300383422986</v>
      </c>
      <c r="AH23" s="61">
        <f t="shared" si="78"/>
        <v>-3.1905676383881412</v>
      </c>
      <c r="AI23" s="50" t="str">
        <f t="shared" si="55"/>
        <v>107.538871525172</v>
      </c>
      <c r="AJ23" s="50" t="str">
        <f t="shared" si="56"/>
        <v>1+0.052530537154263i</v>
      </c>
      <c r="AK23" s="50">
        <f t="shared" si="79"/>
        <v>1.0013787781522612</v>
      </c>
      <c r="AL23" s="50">
        <f t="shared" si="80"/>
        <v>5.2482298404775383E-2</v>
      </c>
      <c r="AM23" s="50" t="str">
        <f t="shared" si="57"/>
        <v>1+0.0000634486487980901i</v>
      </c>
      <c r="AN23" s="50">
        <f t="shared" si="81"/>
        <v>1.0000000020128654</v>
      </c>
      <c r="AO23" s="50">
        <f t="shared" si="82"/>
        <v>6.3448648712947705E-5</v>
      </c>
      <c r="AP23" s="50" t="str">
        <f t="shared" si="58"/>
        <v>1-0.000182425862615276i</v>
      </c>
      <c r="AQ23" s="50">
        <f t="shared" si="83"/>
        <v>1.0000000166395975</v>
      </c>
      <c r="AR23" s="50">
        <f t="shared" si="84"/>
        <v>-1.8242586059161406E-4</v>
      </c>
      <c r="AS23" s="59" t="str">
        <f t="shared" si="85"/>
        <v>107.242270189773-5.64628873402248i</v>
      </c>
      <c r="AT23" s="50">
        <f t="shared" si="86"/>
        <v>40.619341992282052</v>
      </c>
      <c r="AU23" s="61">
        <f t="shared" si="87"/>
        <v>-3.0138310898386784</v>
      </c>
      <c r="AV23" s="32" t="str">
        <f t="shared" si="59"/>
        <v>-0.0000333333333333333</v>
      </c>
      <c r="AW23" s="32" t="str">
        <f t="shared" si="60"/>
        <v>3.38392793589813E-06i</v>
      </c>
      <c r="AX23" s="32">
        <f t="shared" si="88"/>
        <v>3.3839279358981299E-6</v>
      </c>
      <c r="AY23" s="32">
        <f t="shared" si="89"/>
        <v>1.5707963267948966</v>
      </c>
      <c r="AZ23" s="32" t="str">
        <f t="shared" si="61"/>
        <v>1+0.00138059559884733i</v>
      </c>
      <c r="BA23" s="32">
        <f t="shared" si="90"/>
        <v>1.0000009530216496</v>
      </c>
      <c r="BB23" s="32">
        <f t="shared" si="91"/>
        <v>1.3805947216895852E-3</v>
      </c>
      <c r="BC23" s="32" t="str">
        <f t="shared" si="62"/>
        <v>1+0.066268588744672i</v>
      </c>
      <c r="BD23" s="32">
        <f t="shared" si="92"/>
        <v>1.0021933575185031</v>
      </c>
      <c r="BE23" s="32">
        <f t="shared" si="93"/>
        <v>6.6171836809919296E-2</v>
      </c>
      <c r="BF23" s="59" t="str">
        <f t="shared" si="94"/>
        <v>-0.639177022441083+9.85136802410036i</v>
      </c>
      <c r="BG23" s="50">
        <f t="shared" si="95"/>
        <v>19.88817491182521</v>
      </c>
      <c r="BH23" s="61">
        <f t="shared" si="96"/>
        <v>93.712264721065949</v>
      </c>
      <c r="BI23" s="59" t="str">
        <f t="shared" si="97"/>
        <v>-1.66749115711386+183.128425510107i</v>
      </c>
      <c r="BJ23" s="64">
        <f t="shared" si="98"/>
        <v>45.255475295248189</v>
      </c>
      <c r="BK23" s="61">
        <f t="shared" si="99"/>
        <v>90.521697082677818</v>
      </c>
      <c r="BL23" s="59" t="str">
        <f t="shared" si="100"/>
        <v>-12.9231266505341+1060.09204940032i</v>
      </c>
      <c r="BM23" s="64">
        <f t="shared" si="101"/>
        <v>60.507516904107291</v>
      </c>
      <c r="BN23" s="61">
        <f t="shared" si="102"/>
        <v>90.698433631227275</v>
      </c>
      <c r="BO23" s="50">
        <f t="shared" si="103"/>
        <v>45.255475295248189</v>
      </c>
      <c r="BP23" s="61">
        <f t="shared" si="104"/>
        <v>90.521697082677818</v>
      </c>
    </row>
    <row r="24" spans="1:68" x14ac:dyDescent="0.25">
      <c r="A24" s="32"/>
      <c r="B24" s="32"/>
      <c r="C24" s="32"/>
      <c r="D24" s="32"/>
      <c r="E24" s="32"/>
      <c r="F24" s="32"/>
      <c r="G24" s="32"/>
      <c r="N24" s="11">
        <v>6</v>
      </c>
      <c r="O24" s="51">
        <f t="shared" si="63"/>
        <v>11.481536214968834</v>
      </c>
      <c r="P24" s="49" t="str">
        <f t="shared" si="52"/>
        <v>37.1583961085025</v>
      </c>
      <c r="Q24" s="18" t="str">
        <f t="shared" si="64"/>
        <v>1+0.0565445331659099i</v>
      </c>
      <c r="R24" s="18">
        <f t="shared" si="65"/>
        <v>1.0015973663258857</v>
      </c>
      <c r="S24" s="18">
        <f t="shared" si="66"/>
        <v>5.6484385527860552E-2</v>
      </c>
      <c r="T24" s="18" t="str">
        <f t="shared" si="53"/>
        <v>1+0.0000649265576847683i</v>
      </c>
      <c r="U24" s="18">
        <f t="shared" si="67"/>
        <v>1.0000000021077289</v>
      </c>
      <c r="V24" s="18">
        <f t="shared" si="68"/>
        <v>6.4926557593536578E-5</v>
      </c>
      <c r="W24" s="32" t="str">
        <f t="shared" si="54"/>
        <v>1-0.000568295245938725i</v>
      </c>
      <c r="X24" s="18">
        <f t="shared" si="69"/>
        <v>1.0000001614797303</v>
      </c>
      <c r="Y24" s="18">
        <f t="shared" si="70"/>
        <v>-5.6829518475995659E-4</v>
      </c>
      <c r="Z24" s="32" t="str">
        <f t="shared" si="71"/>
        <v>0.999999996704358+0.000136826708602345i</v>
      </c>
      <c r="AA24" s="18">
        <f t="shared" si="72"/>
        <v>1.0000000060651322</v>
      </c>
      <c r="AB24" s="18">
        <f t="shared" si="73"/>
        <v>1.3682670819940759E-4</v>
      </c>
      <c r="AC24" s="32" t="str">
        <f>IMDIV(IMSUM(COMPLEX(0,2*PI()*O24*Constants!$B$61*Constants!$B$62),COMPLEX(1,0)),IMSUM(COMPLEX(0,2*PI()*O24*Constants!$B$61*Constants!$B$62),COMPLEX(2,0)))</f>
        <v>0.500000010408538+0.0000721406181479858i</v>
      </c>
      <c r="AD24" s="18">
        <f t="shared" si="74"/>
        <v>0.50000001561280671</v>
      </c>
      <c r="AE24" s="18">
        <f t="shared" si="75"/>
        <v>1.4428123229128715E-4</v>
      </c>
      <c r="AF24" s="66" t="str">
        <f t="shared" si="76"/>
        <v>18.5194662952168-1.05638826384516i</v>
      </c>
      <c r="AG24" s="64">
        <f t="shared" si="77"/>
        <v>25.366677448068238</v>
      </c>
      <c r="AH24" s="61">
        <f t="shared" si="78"/>
        <v>-3.2647306842434087</v>
      </c>
      <c r="AI24" s="50" t="str">
        <f t="shared" si="55"/>
        <v>107.538871525172</v>
      </c>
      <c r="AJ24" s="50" t="str">
        <f t="shared" si="56"/>
        <v>1+0.0537541305507012i</v>
      </c>
      <c r="AK24" s="50">
        <f t="shared" si="79"/>
        <v>1.001443711124725</v>
      </c>
      <c r="AL24" s="50">
        <f t="shared" si="80"/>
        <v>5.3702445823041907E-2</v>
      </c>
      <c r="AM24" s="50" t="str">
        <f t="shared" si="57"/>
        <v>1+0.0000649265576847683i</v>
      </c>
      <c r="AN24" s="50">
        <f t="shared" si="81"/>
        <v>1.0000000021077289</v>
      </c>
      <c r="AO24" s="50">
        <f t="shared" si="82"/>
        <v>6.4926557593536578E-5</v>
      </c>
      <c r="AP24" s="50" t="str">
        <f t="shared" si="58"/>
        <v>1-0.000186675106824984i</v>
      </c>
      <c r="AQ24" s="50">
        <f t="shared" si="83"/>
        <v>1.0000000174237975</v>
      </c>
      <c r="AR24" s="50">
        <f t="shared" si="84"/>
        <v>-1.8667510465659117E-4</v>
      </c>
      <c r="AS24" s="59" t="str">
        <f t="shared" si="85"/>
        <v>107.228332073764-5.7770584626114i</v>
      </c>
      <c r="AT24" s="50">
        <f t="shared" si="86"/>
        <v>40.61877879410585</v>
      </c>
      <c r="AU24" s="61">
        <f t="shared" si="87"/>
        <v>-3.0838991730988128</v>
      </c>
      <c r="AV24" s="32" t="str">
        <f t="shared" si="59"/>
        <v>-0.0000333333333333333</v>
      </c>
      <c r="AW24" s="32" t="str">
        <f t="shared" si="60"/>
        <v>3.46274974318764E-06i</v>
      </c>
      <c r="AX24" s="32">
        <f t="shared" si="88"/>
        <v>3.4627497431876398E-6</v>
      </c>
      <c r="AY24" s="32">
        <f t="shared" si="89"/>
        <v>1.5707963267948966</v>
      </c>
      <c r="AZ24" s="32" t="str">
        <f t="shared" si="61"/>
        <v>1+0.00141275380147413i</v>
      </c>
      <c r="BA24" s="32">
        <f t="shared" si="90"/>
        <v>1.0000009979361537</v>
      </c>
      <c r="BB24" s="32">
        <f t="shared" si="91"/>
        <v>1.4127528615827233E-3</v>
      </c>
      <c r="BC24" s="32" t="str">
        <f t="shared" si="62"/>
        <v>1+0.0678121824707581i</v>
      </c>
      <c r="BD24" s="32">
        <f t="shared" si="92"/>
        <v>1.0022966088396426</v>
      </c>
      <c r="BE24" s="32">
        <f t="shared" si="93"/>
        <v>6.7708523730210371E-2</v>
      </c>
      <c r="BF24" s="59" t="str">
        <f t="shared" si="94"/>
        <v>-0.639176965024499+9.62716415208802i</v>
      </c>
      <c r="BG24" s="50">
        <f t="shared" si="95"/>
        <v>19.689069342426858</v>
      </c>
      <c r="BH24" s="61">
        <f t="shared" si="96"/>
        <v>93.798467870338712</v>
      </c>
      <c r="BI24" s="59" t="str">
        <f t="shared" si="97"/>
        <v>-1.66719303607355+178.965161077486i</v>
      </c>
      <c r="BJ24" s="64">
        <f t="shared" si="98"/>
        <v>45.055746790495121</v>
      </c>
      <c r="BK24" s="61">
        <f t="shared" si="99"/>
        <v>90.533737186095294</v>
      </c>
      <c r="BL24" s="59" t="str">
        <f t="shared" si="100"/>
        <v>-12.9211897237784+1035.99731732363i</v>
      </c>
      <c r="BM24" s="64">
        <f t="shared" si="101"/>
        <v>60.307848136532698</v>
      </c>
      <c r="BN24" s="61">
        <f t="shared" si="102"/>
        <v>90.714568697239883</v>
      </c>
      <c r="BO24" s="50">
        <f t="shared" si="103"/>
        <v>45.055746790495121</v>
      </c>
      <c r="BP24" s="61">
        <f t="shared" si="104"/>
        <v>90.533737186095294</v>
      </c>
    </row>
    <row r="25" spans="1:68" x14ac:dyDescent="0.25">
      <c r="A25" t="s">
        <v>109</v>
      </c>
      <c r="B25" s="44">
        <f>R_cs</f>
        <v>1.5E-3</v>
      </c>
      <c r="C25" s="2" t="s">
        <v>29</v>
      </c>
      <c r="E25" t="s">
        <v>143</v>
      </c>
      <c r="N25" s="11">
        <v>7</v>
      </c>
      <c r="O25" s="51">
        <f t="shared" si="63"/>
        <v>11.748975549395301</v>
      </c>
      <c r="P25" s="49" t="str">
        <f t="shared" si="52"/>
        <v>37.1583961085025</v>
      </c>
      <c r="Q25" s="18" t="str">
        <f t="shared" si="64"/>
        <v>1+0.0578616245404623i</v>
      </c>
      <c r="R25" s="18">
        <f t="shared" si="65"/>
        <v>1.0016725850268946</v>
      </c>
      <c r="S25" s="18">
        <f t="shared" si="66"/>
        <v>5.7797180995979337E-2</v>
      </c>
      <c r="T25" s="18" t="str">
        <f t="shared" si="53"/>
        <v>1+0.0000664388914917356i</v>
      </c>
      <c r="U25" s="18">
        <f t="shared" si="67"/>
        <v>1.0000000022070632</v>
      </c>
      <c r="V25" s="18">
        <f t="shared" si="68"/>
        <v>6.643889139397906E-5</v>
      </c>
      <c r="W25" s="32" t="str">
        <f t="shared" si="54"/>
        <v>1-0.000581532542715565i</v>
      </c>
      <c r="X25" s="18">
        <f t="shared" si="69"/>
        <v>1.0000001690900349</v>
      </c>
      <c r="Y25" s="18">
        <f t="shared" si="70"/>
        <v>-5.8153247716133416E-4</v>
      </c>
      <c r="Z25" s="32" t="str">
        <f t="shared" si="71"/>
        <v>0.999999996549039+0.00014001381206962i</v>
      </c>
      <c r="AA25" s="18">
        <f t="shared" si="72"/>
        <v>1.0000000063509726</v>
      </c>
      <c r="AB25" s="18">
        <f t="shared" si="73"/>
        <v>1.400138116378648E-4</v>
      </c>
      <c r="AC25" s="32" t="str">
        <f>IMDIV(IMSUM(COMPLEX(0,2*PI()*O25*Constants!$B$61*Constants!$B$62),COMPLEX(1,0)),IMSUM(COMPLEX(0,2*PI()*O25*Constants!$B$61*Constants!$B$62),COMPLEX(2,0)))</f>
        <v>0.500000010899077+0.0000738209889372114i</v>
      </c>
      <c r="AD25" s="18">
        <f t="shared" si="74"/>
        <v>0.50000001634861524</v>
      </c>
      <c r="AE25" s="18">
        <f t="shared" si="75"/>
        <v>1.4764197358332621E-4</v>
      </c>
      <c r="AF25" s="66" t="str">
        <f t="shared" si="76"/>
        <v>18.5166606174581-1.08083236646418i</v>
      </c>
      <c r="AG25" s="64">
        <f t="shared" si="77"/>
        <v>25.366025250450349</v>
      </c>
      <c r="AH25" s="61">
        <f t="shared" si="78"/>
        <v>-3.3406101658571763</v>
      </c>
      <c r="AI25" s="50" t="str">
        <f t="shared" si="55"/>
        <v>107.538871525172</v>
      </c>
      <c r="AJ25" s="50" t="str">
        <f t="shared" si="56"/>
        <v>1+0.0550062250986773i</v>
      </c>
      <c r="AK25" s="50">
        <f t="shared" si="79"/>
        <v>1.0015116997816882</v>
      </c>
      <c r="AL25" s="50">
        <f t="shared" si="80"/>
        <v>5.4950848428988321E-2</v>
      </c>
      <c r="AM25" s="50" t="str">
        <f t="shared" si="57"/>
        <v>1+0.0000664388914917356i</v>
      </c>
      <c r="AN25" s="50">
        <f t="shared" si="81"/>
        <v>1.0000000022070632</v>
      </c>
      <c r="AO25" s="50">
        <f t="shared" si="82"/>
        <v>6.643889139397906E-5</v>
      </c>
      <c r="AP25" s="50" t="str">
        <f t="shared" si="58"/>
        <v>1-0.000191023328647267i</v>
      </c>
      <c r="AQ25" s="50">
        <f t="shared" si="83"/>
        <v>1.0000000182449558</v>
      </c>
      <c r="AR25" s="50">
        <f t="shared" si="84"/>
        <v>-1.9102332632379222E-4</v>
      </c>
      <c r="AS25" s="59" t="str">
        <f t="shared" si="85"/>
        <v>107.213740948452-5.91082083806311i</v>
      </c>
      <c r="AT25" s="50">
        <f t="shared" si="86"/>
        <v>40.618189131489324</v>
      </c>
      <c r="AU25" s="61">
        <f t="shared" si="87"/>
        <v>-3.1555898579586099</v>
      </c>
      <c r="AV25" s="32" t="str">
        <f t="shared" si="59"/>
        <v>-0.0000333333333333333</v>
      </c>
      <c r="AW25" s="32" t="str">
        <f t="shared" si="60"/>
        <v>3.54340754622589E-06i</v>
      </c>
      <c r="AX25" s="32">
        <f t="shared" si="88"/>
        <v>3.54340754622589E-6</v>
      </c>
      <c r="AY25" s="32">
        <f t="shared" si="89"/>
        <v>1.5707963267948966</v>
      </c>
      <c r="AZ25" s="32" t="str">
        <f t="shared" si="61"/>
        <v>1+0.00144566106486647i</v>
      </c>
      <c r="BA25" s="32">
        <f t="shared" si="90"/>
        <v>1.0000010449674113</v>
      </c>
      <c r="BB25" s="32">
        <f t="shared" si="91"/>
        <v>1.4456600577547397E-3</v>
      </c>
      <c r="BC25" s="32" t="str">
        <f t="shared" si="62"/>
        <v>1+0.0693917311135906i</v>
      </c>
      <c r="BD25" s="32">
        <f t="shared" si="92"/>
        <v>1.0024047148467234</v>
      </c>
      <c r="BE25" s="32">
        <f t="shared" si="93"/>
        <v>6.9280673157890174E-2</v>
      </c>
      <c r="BF25" s="59" t="str">
        <f t="shared" si="94"/>
        <v>-0.639176904901973+9.40806472993209i</v>
      </c>
      <c r="BG25" s="50">
        <f t="shared" si="95"/>
        <v>19.490005728678902</v>
      </c>
      <c r="BH25" s="61">
        <f t="shared" si="96"/>
        <v>93.886659953852416</v>
      </c>
      <c r="BI25" s="59" t="str">
        <f t="shared" si="97"/>
        <v>-1.66688095668644+174.896784757945i</v>
      </c>
      <c r="BJ25" s="64">
        <f t="shared" si="98"/>
        <v>44.85603097912928</v>
      </c>
      <c r="BK25" s="61">
        <f t="shared" si="99"/>
        <v>90.546049787995244</v>
      </c>
      <c r="BL25" s="59" t="str">
        <f t="shared" si="100"/>
        <v>-12.9191620508643+1012.45187494991i</v>
      </c>
      <c r="BM25" s="64">
        <f t="shared" si="101"/>
        <v>60.108194860168226</v>
      </c>
      <c r="BN25" s="61">
        <f t="shared" si="102"/>
        <v>90.731070095893799</v>
      </c>
      <c r="BO25" s="50">
        <f t="shared" si="103"/>
        <v>44.85603097912928</v>
      </c>
      <c r="BP25" s="61">
        <f t="shared" si="104"/>
        <v>90.546049787995244</v>
      </c>
    </row>
    <row r="26" spans="1:68" s="32" customFormat="1" x14ac:dyDescent="0.25">
      <c r="A26" t="s">
        <v>110</v>
      </c>
      <c r="B26" s="44">
        <f>R_sl</f>
        <v>0</v>
      </c>
      <c r="C26" s="2" t="s">
        <v>29</v>
      </c>
      <c r="D26"/>
      <c r="E26" t="s">
        <v>409</v>
      </c>
      <c r="F26"/>
      <c r="G26"/>
      <c r="K26"/>
      <c r="N26" s="11">
        <v>8</v>
      </c>
      <c r="O26" s="51">
        <f t="shared" si="63"/>
        <v>12.022644346174133</v>
      </c>
      <c r="P26" s="49" t="str">
        <f t="shared" si="52"/>
        <v>37.1583961085025</v>
      </c>
      <c r="Q26" s="18" t="str">
        <f t="shared" si="64"/>
        <v>1+0.0592093949142351i</v>
      </c>
      <c r="R26" s="18">
        <f t="shared" si="65"/>
        <v>1.0017513426225642</v>
      </c>
      <c r="S26" s="18">
        <f t="shared" si="66"/>
        <v>5.9140348930674075E-2</v>
      </c>
      <c r="T26" s="18" t="str">
        <f t="shared" si="53"/>
        <v>1+0.0000679864520783944i</v>
      </c>
      <c r="U26" s="18">
        <f t="shared" si="67"/>
        <v>1.0000000023110789</v>
      </c>
      <c r="V26" s="18">
        <f t="shared" si="68"/>
        <v>6.7986451973646358E-5</v>
      </c>
      <c r="W26" s="32" t="str">
        <f t="shared" si="54"/>
        <v>1-0.000595078175744045i</v>
      </c>
      <c r="X26" s="18">
        <f t="shared" si="69"/>
        <v>1.0000001770590019</v>
      </c>
      <c r="Y26" s="18">
        <f t="shared" si="70"/>
        <v>-5.950781055014218E-4</v>
      </c>
      <c r="Z26" s="32" t="str">
        <f t="shared" si="71"/>
        <v>0.999999996386401+0.000143275152713357i</v>
      </c>
      <c r="AA26" s="18">
        <f t="shared" si="72"/>
        <v>1.0000000066502857</v>
      </c>
      <c r="AB26" s="18">
        <f t="shared" si="73"/>
        <v>1.4327515225072285E-4</v>
      </c>
      <c r="AC26" s="32" t="str">
        <f>IMDIV(IMSUM(COMPLEX(0,2*PI()*O26*Constants!$B$61*Constants!$B$62),COMPLEX(1,0)),IMSUM(COMPLEX(0,2*PI()*O26*Constants!$B$61*Constants!$B$62),COMPLEX(2,0)))</f>
        <v>0.500000011412735+0.0000755405005850796i</v>
      </c>
      <c r="AD26" s="18">
        <f t="shared" si="74"/>
        <v>0.50000001711910202</v>
      </c>
      <c r="AE26" s="18">
        <f t="shared" si="75"/>
        <v>1.5108099657216629E-4</v>
      </c>
      <c r="AF26" s="66" t="str">
        <f t="shared" si="76"/>
        <v>18.5137236152648-1.10583428832832i</v>
      </c>
      <c r="AG26" s="64">
        <f t="shared" si="77"/>
        <v>25.365342420690176</v>
      </c>
      <c r="AH26" s="61">
        <f t="shared" si="78"/>
        <v>-3.4182452778871908</v>
      </c>
      <c r="AI26" s="50" t="str">
        <f t="shared" si="55"/>
        <v>107.538871525172</v>
      </c>
      <c r="AJ26" s="50" t="str">
        <f t="shared" si="56"/>
        <v>1+0.0562874846752942i</v>
      </c>
      <c r="AK26" s="50">
        <f t="shared" si="79"/>
        <v>1.0015828876988022</v>
      </c>
      <c r="AL26" s="50">
        <f t="shared" si="80"/>
        <v>5.6228152568205896E-2</v>
      </c>
      <c r="AM26" s="50" t="str">
        <f t="shared" si="57"/>
        <v>1+0.0000679864520783944i</v>
      </c>
      <c r="AN26" s="50">
        <f t="shared" si="81"/>
        <v>1.0000000023110789</v>
      </c>
      <c r="AO26" s="50">
        <f t="shared" si="82"/>
        <v>6.7986451973646358E-5</v>
      </c>
      <c r="AP26" s="50" t="str">
        <f t="shared" si="58"/>
        <v>1-0.000195472833566892i</v>
      </c>
      <c r="AQ26" s="50">
        <f t="shared" si="83"/>
        <v>1.0000000191048142</v>
      </c>
      <c r="AR26" s="50">
        <f t="shared" si="84"/>
        <v>-1.9547283107724392E-4</v>
      </c>
      <c r="AS26" s="59" t="str">
        <f t="shared" si="85"/>
        <v>107.198466410471-6.04764177689455i</v>
      </c>
      <c r="AT26" s="50">
        <f t="shared" si="86"/>
        <v>40.617571764730172</v>
      </c>
      <c r="AU26" s="61">
        <f t="shared" si="87"/>
        <v>-3.2289402634439317</v>
      </c>
      <c r="AV26" s="32" t="str">
        <f t="shared" si="59"/>
        <v>-0.0000333333333333333</v>
      </c>
      <c r="AW26" s="32" t="str">
        <f t="shared" si="60"/>
        <v>0.0000036259441108477i</v>
      </c>
      <c r="AX26" s="32">
        <f t="shared" si="88"/>
        <v>3.6259441108477E-6</v>
      </c>
      <c r="AY26" s="32">
        <f t="shared" si="89"/>
        <v>1.5707963267948966</v>
      </c>
      <c r="AZ26" s="32" t="str">
        <f t="shared" si="61"/>
        <v>1+0.00147933483689099i</v>
      </c>
      <c r="BA26" s="32">
        <f t="shared" si="90"/>
        <v>1.0000010942151811</v>
      </c>
      <c r="BB26" s="32">
        <f t="shared" si="91"/>
        <v>1.4793337577513922E-3</v>
      </c>
      <c r="BC26" s="32" t="str">
        <f t="shared" si="62"/>
        <v>1+0.0710080721707675i</v>
      </c>
      <c r="BD26" s="32">
        <f t="shared" si="92"/>
        <v>1.0025179032383456</v>
      </c>
      <c r="BE26" s="32">
        <f t="shared" si="93"/>
        <v>7.0889087563447001E-2</v>
      </c>
      <c r="BF26" s="59" t="str">
        <f t="shared" si="94"/>
        <v>-0.639176841945966+9.19395358821822i</v>
      </c>
      <c r="BG26" s="50">
        <f t="shared" si="95"/>
        <v>19.290986028922941</v>
      </c>
      <c r="BH26" s="61">
        <f t="shared" si="96"/>
        <v>93.976885950108453</v>
      </c>
      <c r="BI26" s="59" t="str">
        <f t="shared" si="97"/>
        <v>-1.66655426991451+170.921139331973i</v>
      </c>
      <c r="BJ26" s="64">
        <f t="shared" si="98"/>
        <v>44.656328449613099</v>
      </c>
      <c r="BK26" s="61">
        <f t="shared" si="99"/>
        <v>90.558640672221273</v>
      </c>
      <c r="BL26" s="59" t="str">
        <f t="shared" si="100"/>
        <v>-12.9170394067575+989.443237478216i</v>
      </c>
      <c r="BM26" s="64">
        <f t="shared" si="101"/>
        <v>59.908557793653117</v>
      </c>
      <c r="BN26" s="61">
        <f t="shared" si="102"/>
        <v>90.747945686664522</v>
      </c>
      <c r="BO26" s="50">
        <f t="shared" si="103"/>
        <v>44.656328449613099</v>
      </c>
      <c r="BP26" s="61">
        <f t="shared" si="104"/>
        <v>90.558640672221273</v>
      </c>
    </row>
    <row r="27" spans="1:68" s="32" customFormat="1" x14ac:dyDescent="0.25">
      <c r="A27"/>
      <c r="B27" s="27"/>
      <c r="C27" s="2"/>
      <c r="D27"/>
      <c r="E27"/>
      <c r="F27"/>
      <c r="G27"/>
      <c r="K27"/>
      <c r="N27" s="11">
        <v>9</v>
      </c>
      <c r="O27" s="51">
        <f t="shared" si="63"/>
        <v>12.302687708123818</v>
      </c>
      <c r="P27" s="49" t="str">
        <f t="shared" si="52"/>
        <v>37.1583961085025</v>
      </c>
      <c r="Q27" s="18" t="str">
        <f t="shared" si="64"/>
        <v>1+0.0605885588929205i</v>
      </c>
      <c r="R27" s="18">
        <f t="shared" si="65"/>
        <v>1.0018338053133966</v>
      </c>
      <c r="S27" s="18">
        <f t="shared" si="66"/>
        <v>6.0514582100725488E-2</v>
      </c>
      <c r="T27" s="18" t="str">
        <f t="shared" si="53"/>
        <v>1+0.0000695700599818523i</v>
      </c>
      <c r="U27" s="18">
        <f t="shared" si="67"/>
        <v>1.0000000024199966</v>
      </c>
      <c r="V27" s="18">
        <f t="shared" si="68"/>
        <v>6.9570059869612766E-5</v>
      </c>
      <c r="W27" s="32" t="str">
        <f t="shared" si="54"/>
        <v>1-0.000608939327098097i</v>
      </c>
      <c r="X27" s="18">
        <f t="shared" si="69"/>
        <v>1.000000185403535</v>
      </c>
      <c r="Y27" s="18">
        <f t="shared" si="70"/>
        <v>-6.08939251831771E-4</v>
      </c>
      <c r="Z27" s="32" t="str">
        <f t="shared" si="71"/>
        <v>0.999999996216097+0.000146612459739533i</v>
      </c>
      <c r="AA27" s="18">
        <f t="shared" si="72"/>
        <v>1.0000000069637038</v>
      </c>
      <c r="AB27" s="18">
        <f t="shared" si="73"/>
        <v>1.4661245924381164E-4</v>
      </c>
      <c r="AC27" s="32" t="str">
        <f>IMDIV(IMSUM(COMPLEX(0,2*PI()*O27*Constants!$B$61*Constants!$B$62),COMPLEX(1,0)),IMSUM(COMPLEX(0,2*PI()*O27*Constants!$B$61*Constants!$B$62),COMPLEX(2,0)))</f>
        <v>0.5000000119506+0.0000773000647989381i</v>
      </c>
      <c r="AD27" s="18">
        <f t="shared" si="74"/>
        <v>0.50000001792589976</v>
      </c>
      <c r="AE27" s="18">
        <f t="shared" si="75"/>
        <v>1.5460012467103824E-4</v>
      </c>
      <c r="AF27" s="66" t="str">
        <f t="shared" si="76"/>
        <v>18.5106491861674-1.13140620266105i</v>
      </c>
      <c r="AG27" s="64">
        <f t="shared" si="77"/>
        <v>25.364627525231732</v>
      </c>
      <c r="AH27" s="61">
        <f t="shared" si="78"/>
        <v>-3.497676072151136</v>
      </c>
      <c r="AI27" s="50" t="str">
        <f t="shared" si="55"/>
        <v>107.538871525172</v>
      </c>
      <c r="AJ27" s="50" t="str">
        <f t="shared" si="56"/>
        <v>1+0.0575985886213389i</v>
      </c>
      <c r="AK27" s="50">
        <f t="shared" si="79"/>
        <v>1.0016574251764774</v>
      </c>
      <c r="AL27" s="50">
        <f t="shared" si="80"/>
        <v>5.7535018803381174E-2</v>
      </c>
      <c r="AM27" s="50" t="str">
        <f t="shared" si="57"/>
        <v>1+0.0000695700599818523i</v>
      </c>
      <c r="AN27" s="50">
        <f t="shared" si="81"/>
        <v>1.0000000024199966</v>
      </c>
      <c r="AO27" s="50">
        <f t="shared" si="82"/>
        <v>6.9570059869612766E-5</v>
      </c>
      <c r="AP27" s="50" t="str">
        <f t="shared" si="58"/>
        <v>1-0.000200025980770263i</v>
      </c>
      <c r="AQ27" s="50">
        <f t="shared" si="83"/>
        <v>1.0000000200051964</v>
      </c>
      <c r="AR27" s="50">
        <f t="shared" si="84"/>
        <v>-2.0002597810255701E-4</v>
      </c>
      <c r="AS27" s="59" t="str">
        <f t="shared" si="85"/>
        <v>107.182476659225-6.1875884630163i</v>
      </c>
      <c r="AT27" s="50">
        <f t="shared" si="86"/>
        <v>40.61692539642366</v>
      </c>
      <c r="AU27" s="61">
        <f t="shared" si="87"/>
        <v>-3.3039883251668125</v>
      </c>
      <c r="AV27" s="32" t="str">
        <f t="shared" si="59"/>
        <v>-0.0000333333333333333</v>
      </c>
      <c r="AW27" s="32" t="str">
        <f t="shared" si="60"/>
        <v>3.71040319903212E-06i</v>
      </c>
      <c r="AX27" s="32">
        <f t="shared" si="88"/>
        <v>3.7104031990321198E-6</v>
      </c>
      <c r="AY27" s="32">
        <f t="shared" si="89"/>
        <v>1.5707963267948966</v>
      </c>
      <c r="AZ27" s="32" t="str">
        <f t="shared" si="61"/>
        <v>1+0.00151379297182734i</v>
      </c>
      <c r="BA27" s="32">
        <f t="shared" si="90"/>
        <v>1.0000011457839244</v>
      </c>
      <c r="BB27" s="32">
        <f t="shared" si="91"/>
        <v>1.5137918155084995E-3</v>
      </c>
      <c r="BC27" s="32" t="str">
        <f t="shared" si="62"/>
        <v>1+0.0726620626477125i</v>
      </c>
      <c r="BD27" s="32">
        <f t="shared" si="92"/>
        <v>1.0026364123390992</v>
      </c>
      <c r="BE27" s="32">
        <f t="shared" si="93"/>
        <v>7.2534586443091381E-2</v>
      </c>
      <c r="BF27" s="59" t="str">
        <f t="shared" si="94"/>
        <v>-0.639176776022953+8.98471720238443i</v>
      </c>
      <c r="BG27" s="50">
        <f t="shared" si="95"/>
        <v>19.092012291978314</v>
      </c>
      <c r="BH27" s="61">
        <f t="shared" si="96"/>
        <v>94.069191789825879</v>
      </c>
      <c r="BI27" s="59" t="str">
        <f t="shared" si="97"/>
        <v>-1.66621229697319+167.036116739251i</v>
      </c>
      <c r="BJ27" s="64">
        <f t="shared" si="98"/>
        <v>44.456639817210053</v>
      </c>
      <c r="BK27" s="61">
        <f t="shared" si="99"/>
        <v>90.571515717674743</v>
      </c>
      <c r="BL27" s="59" t="str">
        <f t="shared" si="100"/>
        <v>-12.9148173722609+966.959204679454i</v>
      </c>
      <c r="BM27" s="64">
        <f t="shared" si="101"/>
        <v>59.708937688401981</v>
      </c>
      <c r="BN27" s="61">
        <f t="shared" si="102"/>
        <v>90.765203464659066</v>
      </c>
      <c r="BO27" s="50">
        <f t="shared" si="103"/>
        <v>44.456639817210053</v>
      </c>
      <c r="BP27" s="61">
        <f t="shared" si="104"/>
        <v>90.571515717674743</v>
      </c>
    </row>
    <row r="28" spans="1:68" x14ac:dyDescent="0.25">
      <c r="B28" s="27"/>
      <c r="C28" s="2"/>
      <c r="K28" s="32"/>
      <c r="N28" s="11">
        <v>10</v>
      </c>
      <c r="O28" s="51">
        <f t="shared" si="63"/>
        <v>12.58925411794168</v>
      </c>
      <c r="P28" s="49" t="str">
        <f t="shared" si="52"/>
        <v>37.1583961085025</v>
      </c>
      <c r="Q28" s="18" t="str">
        <f t="shared" si="64"/>
        <v>1+0.0619998477275154i</v>
      </c>
      <c r="R28" s="18">
        <f t="shared" si="65"/>
        <v>1.0019201470767194</v>
      </c>
      <c r="S28" s="18">
        <f t="shared" si="66"/>
        <v>6.1920588368919324E-2</v>
      </c>
      <c r="T28" s="18" t="str">
        <f t="shared" si="53"/>
        <v>1+0.0000711905548519812i</v>
      </c>
      <c r="U28" s="18">
        <f t="shared" si="67"/>
        <v>1.0000000025340474</v>
      </c>
      <c r="V28" s="18">
        <f t="shared" si="68"/>
        <v>7.1190554731714368E-5</v>
      </c>
      <c r="W28" s="32" t="str">
        <f t="shared" si="54"/>
        <v>1-0.000623123346143641i</v>
      </c>
      <c r="X28" s="18">
        <f t="shared" si="69"/>
        <v>1.0000001941413335</v>
      </c>
      <c r="Y28" s="18">
        <f t="shared" si="70"/>
        <v>-6.2312326549432049E-4</v>
      </c>
      <c r="Z28" s="32" t="str">
        <f t="shared" si="71"/>
        <v>0.999999996037767+0.000150027502632508i</v>
      </c>
      <c r="AA28" s="18">
        <f t="shared" si="72"/>
        <v>1.0000000072918929</v>
      </c>
      <c r="AB28" s="18">
        <f t="shared" si="73"/>
        <v>1.5002750210133301E-4</v>
      </c>
      <c r="AC28" s="32" t="str">
        <f>IMDIV(IMSUM(COMPLEX(0,2*PI()*O28*Constants!$B$61*Constants!$B$62),COMPLEX(1,0)),IMSUM(COMPLEX(0,2*PI()*O28*Constants!$B$61*Constants!$B$62),COMPLEX(2,0)))</f>
        <v>0.500000012513815+0.0000791006145225003i</v>
      </c>
      <c r="AD28" s="18">
        <f t="shared" si="74"/>
        <v>0.50000001877072198</v>
      </c>
      <c r="AE28" s="18">
        <f t="shared" si="75"/>
        <v>1.5820122376579841E-4</v>
      </c>
      <c r="AF28" s="66" t="str">
        <f t="shared" si="76"/>
        <v>18.5074309483881-1.15756050837449i</v>
      </c>
      <c r="AG28" s="64">
        <f t="shared" si="77"/>
        <v>25.363879063926092</v>
      </c>
      <c r="AH28" s="61">
        <f t="shared" si="78"/>
        <v>-3.5789434736535579</v>
      </c>
      <c r="AI28" s="50" t="str">
        <f t="shared" si="55"/>
        <v>107.538871525172</v>
      </c>
      <c r="AJ28" s="50" t="str">
        <f t="shared" si="56"/>
        <v>1+0.0589402321014781i</v>
      </c>
      <c r="AK28" s="50">
        <f t="shared" si="79"/>
        <v>1.0017354695528038</v>
      </c>
      <c r="AL28" s="50">
        <f t="shared" si="80"/>
        <v>5.8872122186216742E-2</v>
      </c>
      <c r="AM28" s="50" t="str">
        <f t="shared" si="57"/>
        <v>1+0.0000711905548519812i</v>
      </c>
      <c r="AN28" s="50">
        <f t="shared" si="81"/>
        <v>1.0000000025340474</v>
      </c>
      <c r="AO28" s="50">
        <f t="shared" si="82"/>
        <v>7.1190554731714368E-5</v>
      </c>
      <c r="AP28" s="50" t="str">
        <f t="shared" si="58"/>
        <v>1-0.000204685184396295i</v>
      </c>
      <c r="AQ28" s="50">
        <f t="shared" si="83"/>
        <v>1.0000000209480122</v>
      </c>
      <c r="AR28" s="50">
        <f t="shared" si="84"/>
        <v>-2.0468518153779656E-4</v>
      </c>
      <c r="AS28" s="59" t="str">
        <f t="shared" si="85"/>
        <v>107.165738434431-6.33072935846754i</v>
      </c>
      <c r="AT28" s="50">
        <f t="shared" si="86"/>
        <v>40.616248668811757</v>
      </c>
      <c r="AU28" s="61">
        <f t="shared" si="87"/>
        <v>-3.3807728109523882</v>
      </c>
      <c r="AV28" s="32" t="str">
        <f t="shared" si="59"/>
        <v>-0.0000333333333333333</v>
      </c>
      <c r="AW28" s="32" t="str">
        <f t="shared" si="60"/>
        <v>3.79682959210566E-06i</v>
      </c>
      <c r="AX28" s="32">
        <f t="shared" si="88"/>
        <v>3.7968295921056602E-6</v>
      </c>
      <c r="AY28" s="32">
        <f t="shared" si="89"/>
        <v>1.5707963267948966</v>
      </c>
      <c r="AZ28" s="32" t="str">
        <f t="shared" si="61"/>
        <v>1+0.00154905373983478i</v>
      </c>
      <c r="BA28" s="32">
        <f t="shared" si="90"/>
        <v>1.0000011997830247</v>
      </c>
      <c r="BB28" s="32">
        <f t="shared" si="91"/>
        <v>1.5490525008168997E-3</v>
      </c>
      <c r="BC28" s="32" t="str">
        <f t="shared" si="62"/>
        <v>1+0.0743545795120694i</v>
      </c>
      <c r="BD28" s="32">
        <f t="shared" si="92"/>
        <v>1.0027604915902983</v>
      </c>
      <c r="BE28" s="32">
        <f t="shared" si="93"/>
        <v>7.4218006598417083E-2</v>
      </c>
      <c r="BF28" s="59" t="str">
        <f t="shared" si="94"/>
        <v>-0.639176706993096+8.78024463252869i</v>
      </c>
      <c r="BG28" s="50">
        <f t="shared" si="95"/>
        <v>18.893086661232804</v>
      </c>
      <c r="BH28" s="61">
        <f t="shared" si="96"/>
        <v>94.163624371422401</v>
      </c>
      <c r="BI28" s="59" t="str">
        <f t="shared" si="97"/>
        <v>-1.66585432801052+163.239656960368i</v>
      </c>
      <c r="BJ28" s="64">
        <f t="shared" si="98"/>
        <v>44.256965725158892</v>
      </c>
      <c r="BK28" s="61">
        <f t="shared" si="99"/>
        <v>90.584680897768848</v>
      </c>
      <c r="BL28" s="59" t="str">
        <f t="shared" si="100"/>
        <v>-12.9124913253267+944.987854424096i</v>
      </c>
      <c r="BM28" s="64">
        <f t="shared" si="101"/>
        <v>59.509335330044564</v>
      </c>
      <c r="BN28" s="61">
        <f t="shared" si="102"/>
        <v>90.782851560470007</v>
      </c>
      <c r="BO28" s="50">
        <f t="shared" si="103"/>
        <v>44.256965725158892</v>
      </c>
      <c r="BP28" s="61">
        <f t="shared" si="104"/>
        <v>90.584680897768848</v>
      </c>
    </row>
    <row r="29" spans="1:68" x14ac:dyDescent="0.25">
      <c r="A29" s="32" t="s">
        <v>408</v>
      </c>
      <c r="B29" s="22">
        <f>Vsl</f>
        <v>4.8000000000000001E-2</v>
      </c>
      <c r="C29" s="2"/>
      <c r="D29" s="32"/>
      <c r="E29" s="32"/>
      <c r="F29" s="32"/>
      <c r="G29" s="32"/>
      <c r="N29" s="11">
        <v>11</v>
      </c>
      <c r="O29" s="51">
        <f t="shared" si="63"/>
        <v>12.882495516931346</v>
      </c>
      <c r="P29" s="49" t="str">
        <f t="shared" si="52"/>
        <v>37.1583961085025</v>
      </c>
      <c r="Q29" s="18" t="str">
        <f t="shared" si="64"/>
        <v>1+0.0634440097020403i</v>
      </c>
      <c r="R29" s="18">
        <f t="shared" si="65"/>
        <v>1.0020105500278291</v>
      </c>
      <c r="S29" s="18">
        <f t="shared" si="66"/>
        <v>6.3359090970086226E-2</v>
      </c>
      <c r="T29" s="18" t="str">
        <f t="shared" si="53"/>
        <v>1+0.000072848795896611i</v>
      </c>
      <c r="U29" s="18">
        <f t="shared" si="67"/>
        <v>1.0000000026534734</v>
      </c>
      <c r="V29" s="18">
        <f t="shared" si="68"/>
        <v>7.2848795767742775E-5</v>
      </c>
      <c r="W29" s="32" t="str">
        <f t="shared" si="54"/>
        <v>1-0.000637637753435322i</v>
      </c>
      <c r="X29" s="18">
        <f t="shared" si="69"/>
        <v>1.0000002032909316</v>
      </c>
      <c r="Y29" s="18">
        <f t="shared" si="70"/>
        <v>-6.3763766701801898E-4</v>
      </c>
      <c r="Z29" s="32" t="str">
        <f t="shared" si="71"/>
        <v>0.999999995851033+0.000153522092093228i</v>
      </c>
      <c r="AA29" s="18">
        <f t="shared" si="72"/>
        <v>1.0000000076355495</v>
      </c>
      <c r="AB29" s="18">
        <f t="shared" si="73"/>
        <v>1.5352209152406368E-4</v>
      </c>
      <c r="AC29" s="32" t="str">
        <f>IMDIV(IMSUM(COMPLEX(0,2*PI()*O29*Constants!$B$61*Constants!$B$62),COMPLEX(1,0)),IMSUM(COMPLEX(0,2*PI()*O29*Constants!$B$61*Constants!$B$62),COMPLEX(2,0)))</f>
        <v>0.500000013103573+0.0000809431044305023i</v>
      </c>
      <c r="AD29" s="18">
        <f t="shared" si="74"/>
        <v>0.50000001965535901</v>
      </c>
      <c r="AE29" s="18">
        <f t="shared" si="75"/>
        <v>1.6188620320423759E-4</v>
      </c>
      <c r="AF29" s="66" t="str">
        <f t="shared" si="76"/>
        <v>18.5040622284668-1.18430983128339i</v>
      </c>
      <c r="AG29" s="64">
        <f t="shared" si="77"/>
        <v>25.363095466985399</v>
      </c>
      <c r="AH29" s="61">
        <f t="shared" si="78"/>
        <v>-3.6620892967113372</v>
      </c>
      <c r="AI29" s="50" t="str">
        <f t="shared" si="55"/>
        <v>107.538871525172</v>
      </c>
      <c r="AJ29" s="50" t="str">
        <f t="shared" si="56"/>
        <v>1+0.0603131264728436i</v>
      </c>
      <c r="AK29" s="50">
        <f t="shared" si="79"/>
        <v>1.001817185530838</v>
      </c>
      <c r="AL29" s="50">
        <f t="shared" si="80"/>
        <v>6.0240152531535231E-2</v>
      </c>
      <c r="AM29" s="50" t="str">
        <f t="shared" si="57"/>
        <v>1+0.000072848795896611i</v>
      </c>
      <c r="AN29" s="50">
        <f t="shared" si="81"/>
        <v>1.0000000026534734</v>
      </c>
      <c r="AO29" s="50">
        <f t="shared" si="82"/>
        <v>7.2848795767742775E-5</v>
      </c>
      <c r="AP29" s="50" t="str">
        <f t="shared" si="58"/>
        <v>1-0.000209452914816422i</v>
      </c>
      <c r="AQ29" s="50">
        <f t="shared" si="83"/>
        <v>1.0000000219352614</v>
      </c>
      <c r="AR29" s="50">
        <f t="shared" si="84"/>
        <v>-2.0945291175348573E-4</v>
      </c>
      <c r="AS29" s="59" t="str">
        <f t="shared" si="85"/>
        <v>107.148216951065-6.47713421310362i</v>
      </c>
      <c r="AT29" s="50">
        <f t="shared" si="86"/>
        <v>40.615540161015893</v>
      </c>
      <c r="AU29" s="61">
        <f t="shared" si="87"/>
        <v>-3.4593333365914027</v>
      </c>
      <c r="AV29" s="32" t="str">
        <f t="shared" si="59"/>
        <v>-0.0000333333333333333</v>
      </c>
      <c r="AW29" s="32" t="str">
        <f t="shared" si="60"/>
        <v>3.88526911448592E-06i</v>
      </c>
      <c r="AX29" s="32">
        <f t="shared" si="88"/>
        <v>3.8852691144859202E-6</v>
      </c>
      <c r="AY29" s="32">
        <f t="shared" si="89"/>
        <v>1.5707963267948966</v>
      </c>
      <c r="AZ29" s="32" t="str">
        <f t="shared" si="61"/>
        <v>1+0.00158513583663922i</v>
      </c>
      <c r="BA29" s="32">
        <f t="shared" si="90"/>
        <v>1.0000012563270211</v>
      </c>
      <c r="BB29" s="32">
        <f t="shared" si="91"/>
        <v>1.5851345090077318E-3</v>
      </c>
      <c r="BC29" s="32" t="str">
        <f t="shared" si="62"/>
        <v>1+0.0760865201586827i</v>
      </c>
      <c r="BD29" s="32">
        <f t="shared" si="92"/>
        <v>1.0028904020628864</v>
      </c>
      <c r="BE29" s="32">
        <f t="shared" si="93"/>
        <v>7.5940202414487221E-2</v>
      </c>
      <c r="BF29" s="59" t="str">
        <f t="shared" si="94"/>
        <v>-0.639176634709976+8.58042746458733i</v>
      </c>
      <c r="BG29" s="50">
        <f t="shared" si="95"/>
        <v>18.694211378910136</v>
      </c>
      <c r="BH29" s="61">
        <f t="shared" si="96"/>
        <v>94.260231576392599</v>
      </c>
      <c r="BI29" s="59" t="str">
        <f t="shared" si="97"/>
        <v>-1.6654796207306+159.529746923983i</v>
      </c>
      <c r="BJ29" s="64">
        <f t="shared" si="98"/>
        <v>44.057306845895525</v>
      </c>
      <c r="BK29" s="61">
        <f t="shared" si="99"/>
        <v>90.598142279681269</v>
      </c>
      <c r="BL29" s="59" t="str">
        <f t="shared" si="100"/>
        <v>-12.9100564320236+923.517536357376i</v>
      </c>
      <c r="BM29" s="64">
        <f t="shared" si="101"/>
        <v>59.309751539926026</v>
      </c>
      <c r="BN29" s="61">
        <f t="shared" si="102"/>
        <v>90.800898239801199</v>
      </c>
      <c r="BO29" s="50">
        <f t="shared" si="103"/>
        <v>44.057306845895525</v>
      </c>
      <c r="BP29" s="61">
        <f t="shared" si="104"/>
        <v>90.598142279681269</v>
      </c>
    </row>
    <row r="30" spans="1:68" x14ac:dyDescent="0.25">
      <c r="A30" s="32" t="s">
        <v>165</v>
      </c>
      <c r="B30" s="22">
        <f>Gcomp</f>
        <v>1</v>
      </c>
      <c r="C30" s="2"/>
      <c r="D30" s="32"/>
      <c r="E30" s="32" t="s">
        <v>166</v>
      </c>
      <c r="F30" s="32"/>
      <c r="G30" s="32"/>
      <c r="N30" s="11">
        <v>12</v>
      </c>
      <c r="O30" s="51">
        <f t="shared" si="63"/>
        <v>13.182567385564075</v>
      </c>
      <c r="P30" s="49" t="str">
        <f t="shared" si="52"/>
        <v>37.1583961085025</v>
      </c>
      <c r="Q30" s="18" t="str">
        <f t="shared" si="64"/>
        <v>1+0.06492181053029i</v>
      </c>
      <c r="R30" s="18">
        <f t="shared" si="65"/>
        <v>1.0021052047976455</v>
      </c>
      <c r="S30" s="18">
        <f t="shared" si="66"/>
        <v>6.4830828790482756E-2</v>
      </c>
      <c r="T30" s="18" t="str">
        <f t="shared" si="53"/>
        <v>1+0.000074545662337093i</v>
      </c>
      <c r="U30" s="18">
        <f t="shared" si="67"/>
        <v>1.0000000027785279</v>
      </c>
      <c r="V30" s="18">
        <f t="shared" si="68"/>
        <v>7.4545662199008192E-5</v>
      </c>
      <c r="W30" s="32" t="str">
        <f t="shared" si="54"/>
        <v>1-0.000652490244704008i</v>
      </c>
      <c r="X30" s="18">
        <f t="shared" si="69"/>
        <v>1.0000002128717369</v>
      </c>
      <c r="Y30" s="18">
        <f t="shared" si="70"/>
        <v>-6.5249015210620061E-4</v>
      </c>
      <c r="Z30" s="32" t="str">
        <f t="shared" si="71"/>
        <v>0.999999995655498+0.000157098080999281i</v>
      </c>
      <c r="AA30" s="18">
        <f t="shared" si="72"/>
        <v>1.0000000079954015</v>
      </c>
      <c r="AB30" s="18">
        <f t="shared" si="73"/>
        <v>1.5709808038941051E-4</v>
      </c>
      <c r="AC30" s="32" t="str">
        <f>IMDIV(IMSUM(COMPLEX(0,2*PI()*O30*Constants!$B$61*Constants!$B$62),COMPLEX(1,0)),IMSUM(COMPLEX(0,2*PI()*O30*Constants!$B$61*Constants!$B$62),COMPLEX(2,0)))</f>
        <v>0.500000013721125+0.0000828285114348802i</v>
      </c>
      <c r="AD30" s="18">
        <f t="shared" si="74"/>
        <v>0.50000002058168713</v>
      </c>
      <c r="AE30" s="18">
        <f t="shared" si="75"/>
        <v>1.6565701680842546E-4</v>
      </c>
      <c r="AF30" s="66" t="str">
        <f t="shared" si="76"/>
        <v>18.5005360483795-1.21166702506975i</v>
      </c>
      <c r="AG30" s="64">
        <f t="shared" si="77"/>
        <v>25.362275091802506</v>
      </c>
      <c r="AH30" s="61">
        <f t="shared" si="78"/>
        <v>-3.7471562611604612</v>
      </c>
      <c r="AI30" s="50" t="str">
        <f t="shared" si="55"/>
        <v>107.538871525172</v>
      </c>
      <c r="AJ30" s="50" t="str">
        <f t="shared" si="56"/>
        <v>1+0.0617179996622037i</v>
      </c>
      <c r="AK30" s="50">
        <f t="shared" si="79"/>
        <v>1.0019027455208933</v>
      </c>
      <c r="AL30" s="50">
        <f t="shared" si="80"/>
        <v>6.1639814693331456E-2</v>
      </c>
      <c r="AM30" s="50" t="str">
        <f t="shared" si="57"/>
        <v>1+0.000074545662337093i</v>
      </c>
      <c r="AN30" s="50">
        <f t="shared" si="81"/>
        <v>1.0000000027785279</v>
      </c>
      <c r="AO30" s="50">
        <f t="shared" si="82"/>
        <v>7.4545662199008192E-5</v>
      </c>
      <c r="AP30" s="50" t="str">
        <f t="shared" si="58"/>
        <v>1-0.000214331699944422i</v>
      </c>
      <c r="AQ30" s="50">
        <f t="shared" si="83"/>
        <v>1.0000000229690384</v>
      </c>
      <c r="AR30" s="50">
        <f t="shared" si="84"/>
        <v>-2.1433169666242667E-4</v>
      </c>
      <c r="AS30" s="59" t="str">
        <f t="shared" si="85"/>
        <v>107.129875831567-6.62687407312387i</v>
      </c>
      <c r="AT30" s="50">
        <f t="shared" si="86"/>
        <v>40.614798386144301</v>
      </c>
      <c r="AU30" s="61">
        <f t="shared" si="87"/>
        <v>-3.5397103817060089</v>
      </c>
      <c r="AV30" s="32" t="str">
        <f t="shared" si="59"/>
        <v>-0.0000333333333333333</v>
      </c>
      <c r="AW30" s="32" t="str">
        <f t="shared" si="60"/>
        <v>3.97576865797829E-06i</v>
      </c>
      <c r="AX30" s="32">
        <f t="shared" si="88"/>
        <v>3.9757686579782903E-6</v>
      </c>
      <c r="AY30" s="32">
        <f t="shared" si="89"/>
        <v>1.5707963267948966</v>
      </c>
      <c r="AZ30" s="32" t="str">
        <f t="shared" si="61"/>
        <v>1+0.001622058393446i</v>
      </c>
      <c r="BA30" s="32">
        <f t="shared" si="90"/>
        <v>1.0000013155358505</v>
      </c>
      <c r="BB30" s="32">
        <f t="shared" si="91"/>
        <v>1.6220569708633311E-3</v>
      </c>
      <c r="BC30" s="32" t="str">
        <f t="shared" si="62"/>
        <v>1+0.0778588028854083i</v>
      </c>
      <c r="BD30" s="32">
        <f t="shared" si="92"/>
        <v>1.0030264169934653</v>
      </c>
      <c r="BE30" s="32">
        <f t="shared" si="93"/>
        <v>7.7702046135760247E-2</v>
      </c>
      <c r="BF30" s="59" t="str">
        <f t="shared" si="94"/>
        <v>-0.639176559020279+8.38515975285229i</v>
      </c>
      <c r="BG30" s="50">
        <f t="shared" si="95"/>
        <v>18.495388790520224</v>
      </c>
      <c r="BH30" s="61">
        <f t="shared" si="96"/>
        <v>94.359062284549623</v>
      </c>
      <c r="BI30" s="59" t="str">
        <f t="shared" si="97"/>
        <v>-1.6650873989607+155.904419438827i</v>
      </c>
      <c r="BJ30" s="64">
        <f t="shared" si="98"/>
        <v>43.857663882322726</v>
      </c>
      <c r="BK30" s="61">
        <f t="shared" si="99"/>
        <v>90.611906023389153</v>
      </c>
      <c r="BL30" s="59" t="str">
        <f t="shared" si="100"/>
        <v>-12.9075076371122+902.536865718039i</v>
      </c>
      <c r="BM30" s="64">
        <f t="shared" si="101"/>
        <v>59.110187176664517</v>
      </c>
      <c r="BN30" s="61">
        <f t="shared" si="102"/>
        <v>90.819351902843621</v>
      </c>
      <c r="BO30" s="50">
        <f t="shared" si="103"/>
        <v>43.857663882322726</v>
      </c>
      <c r="BP30" s="61">
        <f t="shared" si="104"/>
        <v>90.611906023389153</v>
      </c>
    </row>
    <row r="31" spans="1:68" x14ac:dyDescent="0.25">
      <c r="A31" t="s">
        <v>399</v>
      </c>
      <c r="B31">
        <f>IF(Variable_Management!B23=3,1,IF((VOUT*IOUT)/(VIN_var*Np)&lt;((VIN_var*(1-(VIN_var/VOUT)))/(2*Lm*Fsw)),0,1))</f>
        <v>1</v>
      </c>
      <c r="E31" t="s">
        <v>400</v>
      </c>
      <c r="N31" s="11">
        <v>13</v>
      </c>
      <c r="O31" s="51">
        <f t="shared" si="63"/>
        <v>13.489628825916535</v>
      </c>
      <c r="P31" s="49" t="str">
        <f t="shared" si="52"/>
        <v>37.1583961085025</v>
      </c>
      <c r="Q31" s="18" t="str">
        <f t="shared" si="64"/>
        <v>1+0.0664340337618246i</v>
      </c>
      <c r="R31" s="18">
        <f t="shared" si="65"/>
        <v>1.0022043109276009</v>
      </c>
      <c r="S31" s="18">
        <f t="shared" si="66"/>
        <v>6.6336556648190478E-2</v>
      </c>
      <c r="T31" s="18" t="str">
        <f t="shared" si="53"/>
        <v>1+0.0000762820538744746i</v>
      </c>
      <c r="U31" s="18">
        <f t="shared" si="67"/>
        <v>1.0000000029094758</v>
      </c>
      <c r="V31" s="18">
        <f t="shared" si="68"/>
        <v>7.6282053726514068E-5</v>
      </c>
      <c r="W31" s="32" t="str">
        <f t="shared" si="54"/>
        <v>1-0.000667688694937166i</v>
      </c>
      <c r="X31" s="18">
        <f t="shared" si="69"/>
        <v>1.0000002229040719</v>
      </c>
      <c r="Y31" s="18">
        <f t="shared" si="70"/>
        <v>-6.67688595716829E-4</v>
      </c>
      <c r="Z31" s="32" t="str">
        <f t="shared" si="71"/>
        <v>0.999999995450748+0.000160757365387318i</v>
      </c>
      <c r="AA31" s="18">
        <f t="shared" si="72"/>
        <v>1.0000000083722131</v>
      </c>
      <c r="AB31" s="18">
        <f t="shared" si="73"/>
        <v>1.6075736473382995E-4</v>
      </c>
      <c r="AC31" s="32" t="str">
        <f>IMDIV(IMSUM(COMPLEX(0,2*PI()*O31*Constants!$B$61*Constants!$B$62),COMPLEX(1,0)),IMSUM(COMPLEX(0,2*PI()*O31*Constants!$B$61*Constants!$B$62),COMPLEX(2,0)))</f>
        <v>0.500000014367782+0.0000847578352027408i</v>
      </c>
      <c r="AD31" s="18">
        <f t="shared" si="74"/>
        <v>0.50000002155167234</v>
      </c>
      <c r="AE31" s="18">
        <f t="shared" si="75"/>
        <v>1.6951566391064415E-4</v>
      </c>
      <c r="AF31" s="66" t="str">
        <f t="shared" si="76"/>
        <v>18.4968451121307-1.23964517197367i</v>
      </c>
      <c r="AG31" s="64">
        <f t="shared" si="77"/>
        <v>25.361416219630136</v>
      </c>
      <c r="AH31" s="61">
        <f t="shared" si="78"/>
        <v>-3.8341880086257376</v>
      </c>
      <c r="AI31" s="50" t="str">
        <f t="shared" si="55"/>
        <v>107.538871525172</v>
      </c>
      <c r="AJ31" s="50" t="str">
        <f t="shared" si="56"/>
        <v>1+0.063155596551919i</v>
      </c>
      <c r="AK31" s="50">
        <f t="shared" si="79"/>
        <v>1.001992329998503</v>
      </c>
      <c r="AL31" s="50">
        <f t="shared" si="80"/>
        <v>6.307182884251103E-2</v>
      </c>
      <c r="AM31" s="50" t="str">
        <f t="shared" si="57"/>
        <v>1+0.0000762820538744746i</v>
      </c>
      <c r="AN31" s="50">
        <f t="shared" si="81"/>
        <v>1.0000000029094758</v>
      </c>
      <c r="AO31" s="50">
        <f t="shared" si="82"/>
        <v>7.6282053726514068E-5</v>
      </c>
      <c r="AP31" s="50" t="str">
        <f t="shared" si="58"/>
        <v>1-0.000219324126576749i</v>
      </c>
      <c r="AQ31" s="50">
        <f t="shared" si="83"/>
        <v>1.0000000240515359</v>
      </c>
      <c r="AR31" s="50">
        <f t="shared" si="84"/>
        <v>-2.1932412306002762E-4</v>
      </c>
      <c r="AS31" s="59" t="str">
        <f t="shared" si="85"/>
        <v>107.110677035252-6.78002128832032i</v>
      </c>
      <c r="AT31" s="50">
        <f t="shared" si="86"/>
        <v>40.61402178827209</v>
      </c>
      <c r="AU31" s="61">
        <f t="shared" si="87"/>
        <v>-3.6219453057130186</v>
      </c>
      <c r="AV31" s="32" t="str">
        <f t="shared" si="59"/>
        <v>-0.0000333333333333333</v>
      </c>
      <c r="AW31" s="32" t="str">
        <f t="shared" si="60"/>
        <v>4.06837620663864E-06i</v>
      </c>
      <c r="AX31" s="32">
        <f t="shared" si="88"/>
        <v>4.0683762066386401E-6</v>
      </c>
      <c r="AY31" s="32">
        <f t="shared" si="89"/>
        <v>1.5707963267948966</v>
      </c>
      <c r="AZ31" s="32" t="str">
        <f t="shared" si="61"/>
        <v>1+0.00165984098708347i</v>
      </c>
      <c r="BA31" s="32">
        <f t="shared" si="90"/>
        <v>1.0000013775351024</v>
      </c>
      <c r="BB31" s="32">
        <f t="shared" si="91"/>
        <v>1.6598394627587905E-3</v>
      </c>
      <c r="BC31" s="32" t="str">
        <f t="shared" si="62"/>
        <v>1+0.0796723673800069i</v>
      </c>
      <c r="BD31" s="32">
        <f t="shared" si="92"/>
        <v>1.0031688223444422</v>
      </c>
      <c r="BE31" s="32">
        <f t="shared" si="93"/>
        <v>7.9504428139224065E-2</v>
      </c>
      <c r="BF31" s="59" t="str">
        <f t="shared" si="94"/>
        <v>-0.639176479763453+8.19433796379733i</v>
      </c>
      <c r="BG31" s="50">
        <f t="shared" si="95"/>
        <v>18.296621349499759</v>
      </c>
      <c r="BH31" s="61">
        <f t="shared" si="96"/>
        <v>94.460166389093331</v>
      </c>
      <c r="BI31" s="59" t="str">
        <f t="shared" si="97"/>
        <v>-1.66467685115962+152.36175214999i</v>
      </c>
      <c r="BJ31" s="64">
        <f t="shared" si="98"/>
        <v>43.658037569129924</v>
      </c>
      <c r="BK31" s="61">
        <f t="shared" si="99"/>
        <v>90.625978380467586</v>
      </c>
      <c r="BL31" s="59" t="str">
        <f t="shared" si="100"/>
        <v>-12.9048396542352+882.03471729779i</v>
      </c>
      <c r="BM31" s="64">
        <f t="shared" si="101"/>
        <v>58.910643137771849</v>
      </c>
      <c r="BN31" s="61">
        <f t="shared" si="102"/>
        <v>90.838221083380319</v>
      </c>
      <c r="BO31" s="50">
        <f t="shared" si="103"/>
        <v>43.658037569129924</v>
      </c>
      <c r="BP31" s="61">
        <f t="shared" si="104"/>
        <v>90.625978380467586</v>
      </c>
    </row>
    <row r="32" spans="1:68" ht="15.75" x14ac:dyDescent="0.25">
      <c r="A32" s="52" t="s">
        <v>742</v>
      </c>
      <c r="E32" s="47" t="s">
        <v>416</v>
      </c>
      <c r="N32" s="11">
        <v>14</v>
      </c>
      <c r="O32" s="51">
        <f t="shared" si="63"/>
        <v>13.803842646028857</v>
      </c>
      <c r="P32" s="49" t="str">
        <f t="shared" si="52"/>
        <v>37.1583961085025</v>
      </c>
      <c r="Q32" s="18" t="str">
        <f t="shared" si="64"/>
        <v>1+0.0679814811974182i</v>
      </c>
      <c r="R32" s="18">
        <f t="shared" si="65"/>
        <v>1.0023080772825264</v>
      </c>
      <c r="S32" s="18">
        <f t="shared" si="66"/>
        <v>6.7877045574183309E-2</v>
      </c>
      <c r="T32" s="18" t="str">
        <f t="shared" si="53"/>
        <v>1+0.0000780588911665328i</v>
      </c>
      <c r="U32" s="18">
        <f t="shared" si="67"/>
        <v>1.0000000030465952</v>
      </c>
      <c r="V32" s="18">
        <f t="shared" si="68"/>
        <v>7.8058891007990239E-5</v>
      </c>
      <c r="W32" s="32" t="str">
        <f t="shared" si="54"/>
        <v>1-0.000683241162554285i</v>
      </c>
      <c r="X32" s="18">
        <f t="shared" si="69"/>
        <v>1.000000233409216</v>
      </c>
      <c r="Y32" s="18">
        <f t="shared" si="70"/>
        <v>-6.8324105623777975E-4</v>
      </c>
      <c r="Z32" s="32" t="str">
        <f t="shared" si="71"/>
        <v>0.999999995236348+0.00016450188545836i</v>
      </c>
      <c r="AA32" s="18">
        <f t="shared" si="72"/>
        <v>1.0000000087667831</v>
      </c>
      <c r="AB32" s="18">
        <f t="shared" si="73"/>
        <v>1.6450188475813503E-4</v>
      </c>
      <c r="AC32" s="32" t="str">
        <f>IMDIV(IMSUM(COMPLEX(0,2*PI()*O32*Constants!$B$61*Constants!$B$62),COMPLEX(1,0)),IMSUM(COMPLEX(0,2*PI()*O32*Constants!$B$61*Constants!$B$62),COMPLEX(2,0)))</f>
        <v>0.500000015044914+0.0000867320986863934i</v>
      </c>
      <c r="AD32" s="18">
        <f t="shared" si="74"/>
        <v>0.50000002256737064</v>
      </c>
      <c r="AE32" s="18">
        <f t="shared" si="75"/>
        <v>1.7346419041344336E-4</v>
      </c>
      <c r="AF32" s="66" t="str">
        <f t="shared" si="76"/>
        <v>18.4929817918035-1.26825758318446i</v>
      </c>
      <c r="AG32" s="64">
        <f t="shared" si="77"/>
        <v>25.360517052114197</v>
      </c>
      <c r="AH32" s="61">
        <f t="shared" si="78"/>
        <v>-3.923229118833357</v>
      </c>
      <c r="AI32" s="50" t="str">
        <f t="shared" si="55"/>
        <v>107.538871525172</v>
      </c>
      <c r="AJ32" s="50" t="str">
        <f t="shared" si="56"/>
        <v>1+0.0646266793748893i</v>
      </c>
      <c r="AK32" s="50">
        <f t="shared" si="79"/>
        <v>1.0020861278787492</v>
      </c>
      <c r="AL32" s="50">
        <f t="shared" si="80"/>
        <v>6.4536930746030396E-2</v>
      </c>
      <c r="AM32" s="50" t="str">
        <f t="shared" si="57"/>
        <v>1+0.0000780588911665328i</v>
      </c>
      <c r="AN32" s="50">
        <f t="shared" si="81"/>
        <v>1.0000000030465952</v>
      </c>
      <c r="AO32" s="50">
        <f t="shared" si="82"/>
        <v>7.8058891007990239E-5</v>
      </c>
      <c r="AP32" s="50" t="str">
        <f t="shared" si="58"/>
        <v>1-0.000224432841764084i</v>
      </c>
      <c r="AQ32" s="50">
        <f t="shared" si="83"/>
        <v>1.00000002518505</v>
      </c>
      <c r="AR32" s="50">
        <f t="shared" si="84"/>
        <v>-2.2443283799584919E-4</v>
      </c>
      <c r="AS32" s="59" t="str">
        <f t="shared" si="85"/>
        <v>107.090580784812-6.9366495179187i</v>
      </c>
      <c r="AT32" s="50">
        <f t="shared" si="86"/>
        <v>40.613208739287437</v>
      </c>
      <c r="AU32" s="61">
        <f t="shared" si="87"/>
        <v>-3.7060803638687134</v>
      </c>
      <c r="AV32" s="32" t="str">
        <f t="shared" si="59"/>
        <v>-0.0000333333333333333</v>
      </c>
      <c r="AW32" s="32" t="str">
        <f t="shared" si="60"/>
        <v>4.16314086221508E-06i</v>
      </c>
      <c r="AX32" s="32">
        <f t="shared" si="88"/>
        <v>4.1631408622150797E-6</v>
      </c>
      <c r="AY32" s="32">
        <f t="shared" si="89"/>
        <v>1.5707963267948966</v>
      </c>
      <c r="AZ32" s="32" t="str">
        <f t="shared" si="61"/>
        <v>1+0.00169850365038289i</v>
      </c>
      <c r="BA32" s="32">
        <f t="shared" si="90"/>
        <v>1.0000014424562849</v>
      </c>
      <c r="BB32" s="32">
        <f t="shared" si="91"/>
        <v>1.6985020170396956E-3</v>
      </c>
      <c r="BC32" s="32" t="str">
        <f t="shared" si="62"/>
        <v>1+0.0815281752183789i</v>
      </c>
      <c r="BD32" s="32">
        <f t="shared" si="92"/>
        <v>1.0033179173893181</v>
      </c>
      <c r="BE32" s="32">
        <f t="shared" si="93"/>
        <v>8.1348257204055405E-2</v>
      </c>
      <c r="BF32" s="59" t="str">
        <f t="shared" si="94"/>
        <v>-0.639176396771389+8.00786092118326i</v>
      </c>
      <c r="BG32" s="50">
        <f t="shared" si="95"/>
        <v>18.097911622050049</v>
      </c>
      <c r="BH32" s="61">
        <f t="shared" si="96"/>
        <v>94.563594811466217</v>
      </c>
      <c r="BI32" s="59" t="str">
        <f t="shared" si="97"/>
        <v>-1.6642471288667+148.899866518935i</v>
      </c>
      <c r="BJ32" s="64">
        <f t="shared" si="98"/>
        <v>43.45842867416426</v>
      </c>
      <c r="BK32" s="61">
        <f t="shared" si="99"/>
        <v>90.640365692632855</v>
      </c>
      <c r="BL32" s="59" t="str">
        <f t="shared" si="100"/>
        <v>-12.9020469557056+862.000219538044i</v>
      </c>
      <c r="BM32" s="64">
        <f t="shared" si="101"/>
        <v>58.711120361337485</v>
      </c>
      <c r="BN32" s="61">
        <f t="shared" si="102"/>
        <v>90.857514447597509</v>
      </c>
      <c r="BO32" s="50">
        <f t="shared" si="103"/>
        <v>43.45842867416426</v>
      </c>
      <c r="BP32" s="61">
        <f t="shared" si="104"/>
        <v>90.640365692632855</v>
      </c>
    </row>
    <row r="33" spans="1:68" x14ac:dyDescent="0.25">
      <c r="N33" s="11">
        <v>15</v>
      </c>
      <c r="O33" s="51">
        <f t="shared" si="63"/>
        <v>14.125375446227544</v>
      </c>
      <c r="P33" s="49" t="str">
        <f t="shared" si="52"/>
        <v>37.1583961085025</v>
      </c>
      <c r="Q33" s="18" t="str">
        <f t="shared" si="64"/>
        <v>1+0.0695649733141838i</v>
      </c>
      <c r="R33" s="18">
        <f t="shared" si="65"/>
        <v>1.0024167224823233</v>
      </c>
      <c r="S33" s="18">
        <f t="shared" si="66"/>
        <v>6.9453083093676121E-2</v>
      </c>
      <c r="T33" s="18" t="str">
        <f t="shared" si="53"/>
        <v>1+0.000079877116315919i</v>
      </c>
      <c r="U33" s="18">
        <f t="shared" si="67"/>
        <v>1.0000000031901768</v>
      </c>
      <c r="V33" s="18">
        <f t="shared" si="68"/>
        <v>7.9877116146037579E-5</v>
      </c>
      <c r="W33" s="32" t="str">
        <f t="shared" si="54"/>
        <v>1-0.000699155893679555i</v>
      </c>
      <c r="X33" s="18">
        <f t="shared" si="69"/>
        <v>1.000000244409452</v>
      </c>
      <c r="Y33" s="18">
        <f t="shared" si="70"/>
        <v>-6.9915577975936853E-4</v>
      </c>
      <c r="Z33" s="32" t="str">
        <f t="shared" si="71"/>
        <v>0.999999995011844+0.000168333626606511i</v>
      </c>
      <c r="AA33" s="18">
        <f t="shared" si="72"/>
        <v>1.0000000091799488</v>
      </c>
      <c r="AB33" s="18">
        <f t="shared" si="73"/>
        <v>1.6833362585620641E-4</v>
      </c>
      <c r="AC33" s="32" t="str">
        <f>IMDIV(IMSUM(COMPLEX(0,2*PI()*O33*Constants!$B$61*Constants!$B$62),COMPLEX(1,0)),IMSUM(COMPLEX(0,2*PI()*O33*Constants!$B$61*Constants!$B$62),COMPLEX(2,0)))</f>
        <v>0.500000015753959+0.0000887523486657304i</v>
      </c>
      <c r="AD33" s="18">
        <f t="shared" si="74"/>
        <v>0.5000000236309381</v>
      </c>
      <c r="AE33" s="18">
        <f t="shared" si="75"/>
        <v>1.7750468987438991E-4</v>
      </c>
      <c r="AF33" s="66" t="str">
        <f t="shared" si="76"/>
        <v>18.4889381130499-1.29751779890426i</v>
      </c>
      <c r="AG33" s="64">
        <f t="shared" si="77"/>
        <v>25.359575707675237</v>
      </c>
      <c r="AH33" s="61">
        <f t="shared" si="78"/>
        <v>-4.0143251259447208</v>
      </c>
      <c r="AI33" s="50" t="str">
        <f t="shared" si="55"/>
        <v>107.538871525172</v>
      </c>
      <c r="AJ33" s="50" t="str">
        <f t="shared" si="56"/>
        <v>1+0.0661320281186994i</v>
      </c>
      <c r="AK33" s="50">
        <f t="shared" si="79"/>
        <v>1.002184336907683</v>
      </c>
      <c r="AL33" s="50">
        <f t="shared" si="80"/>
        <v>6.6035872047121719E-2</v>
      </c>
      <c r="AM33" s="50" t="str">
        <f t="shared" si="57"/>
        <v>1+0.000079877116315919i</v>
      </c>
      <c r="AN33" s="50">
        <f t="shared" si="81"/>
        <v>1.0000000031901768</v>
      </c>
      <c r="AO33" s="50">
        <f t="shared" si="82"/>
        <v>7.9877116146037579E-5</v>
      </c>
      <c r="AP33" s="50" t="str">
        <f t="shared" si="58"/>
        <v>1-0.000229660554214843i</v>
      </c>
      <c r="AQ33" s="50">
        <f t="shared" si="83"/>
        <v>1.0000000263719846</v>
      </c>
      <c r="AR33" s="50">
        <f t="shared" si="84"/>
        <v>-2.2966055017710667E-4</v>
      </c>
      <c r="AS33" s="59" t="str">
        <f t="shared" si="85"/>
        <v>107.069545489824-7.09683373487419i</v>
      </c>
      <c r="AT33" s="50">
        <f t="shared" si="86"/>
        <v>40.612357535599138</v>
      </c>
      <c r="AU33" s="61">
        <f t="shared" si="87"/>
        <v>-3.7921587233769447</v>
      </c>
      <c r="AV33" s="32" t="str">
        <f t="shared" si="59"/>
        <v>-0.0000333333333333333</v>
      </c>
      <c r="AW33" s="32" t="str">
        <f t="shared" si="60"/>
        <v>4.26011287018235E-06i</v>
      </c>
      <c r="AX33" s="32">
        <f t="shared" si="88"/>
        <v>4.2601128701823497E-6</v>
      </c>
      <c r="AY33" s="32">
        <f t="shared" si="89"/>
        <v>1.5707963267948966</v>
      </c>
      <c r="AZ33" s="32" t="str">
        <f t="shared" si="61"/>
        <v>1+0.00173806688280009i</v>
      </c>
      <c r="BA33" s="32">
        <f t="shared" si="90"/>
        <v>1.0000015104371038</v>
      </c>
      <c r="BB33" s="32">
        <f t="shared" si="91"/>
        <v>1.7380651326414681E-3</v>
      </c>
      <c r="BC33" s="32" t="str">
        <f t="shared" si="62"/>
        <v>1+0.0834272103744045i</v>
      </c>
      <c r="BD33" s="32">
        <f t="shared" si="92"/>
        <v>1.0034740153241912</v>
      </c>
      <c r="BE33" s="32">
        <f t="shared" si="93"/>
        <v>8.3234460777065061E-2</v>
      </c>
      <c r="BF33" s="59" t="str">
        <f t="shared" si="94"/>
        <v>-0.639176309868056+7.82562975241286i</v>
      </c>
      <c r="BG33" s="50">
        <f t="shared" si="95"/>
        <v>17.89926229217923</v>
      </c>
      <c r="BH33" s="61">
        <f t="shared" si="96"/>
        <v>94.669399515953828</v>
      </c>
      <c r="BI33" s="59" t="str">
        <f t="shared" si="97"/>
        <v>-1.66379734508767+145.516926826695i</v>
      </c>
      <c r="BJ33" s="64">
        <f t="shared" si="98"/>
        <v>43.258837999854464</v>
      </c>
      <c r="BK33" s="61">
        <f t="shared" si="99"/>
        <v>90.655074390009119</v>
      </c>
      <c r="BL33" s="59" t="str">
        <f t="shared" si="100"/>
        <v>-12.8991237618769+842.422748760893i</v>
      </c>
      <c r="BM33" s="64">
        <f t="shared" si="101"/>
        <v>58.511619827778382</v>
      </c>
      <c r="BN33" s="61">
        <f t="shared" si="102"/>
        <v>90.877240792576885</v>
      </c>
      <c r="BO33" s="50">
        <f t="shared" si="103"/>
        <v>43.258837999854464</v>
      </c>
      <c r="BP33" s="61">
        <f t="shared" si="104"/>
        <v>90.655074390009119</v>
      </c>
    </row>
    <row r="34" spans="1:68" x14ac:dyDescent="0.25">
      <c r="A34" t="s">
        <v>410</v>
      </c>
      <c r="B34">
        <f>(R_cs*Acs/(2*Lm*Fsw))*(1-(VIN_var/VOUT))*(VIN_var/VOUT)</f>
        <v>1.2363636363636364E-3</v>
      </c>
      <c r="E34" t="s">
        <v>413</v>
      </c>
      <c r="N34" s="11">
        <v>16</v>
      </c>
      <c r="O34" s="51">
        <f t="shared" si="63"/>
        <v>14.454397707459275</v>
      </c>
      <c r="P34" s="49" t="str">
        <f t="shared" si="52"/>
        <v>37.1583961085025</v>
      </c>
      <c r="Q34" s="18" t="str">
        <f t="shared" si="64"/>
        <v>1+0.071185349700602i</v>
      </c>
      <c r="R34" s="18">
        <f t="shared" si="65"/>
        <v>1.0025304753532418</v>
      </c>
      <c r="S34" s="18">
        <f t="shared" si="66"/>
        <v>7.1065473507336122E-2</v>
      </c>
      <c r="T34" s="18" t="str">
        <f t="shared" si="53"/>
        <v>1+0.0000817376933696746i</v>
      </c>
      <c r="U34" s="18">
        <f t="shared" si="67"/>
        <v>1.0000000033405252</v>
      </c>
      <c r="V34" s="18">
        <f t="shared" si="68"/>
        <v>8.1737693187643388E-5</v>
      </c>
      <c r="W34" s="32" t="str">
        <f t="shared" si="54"/>
        <v>1-0.000715441326514076i</v>
      </c>
      <c r="X34" s="18">
        <f t="shared" si="69"/>
        <v>1.0000002559281131</v>
      </c>
      <c r="Y34" s="18">
        <f t="shared" si="70"/>
        <v>-7.1544120444639876E-4</v>
      </c>
      <c r="Z34" s="32" t="str">
        <f t="shared" si="71"/>
        <v>0.99999999477676+0.000172254620471647i</v>
      </c>
      <c r="AA34" s="18">
        <f t="shared" si="72"/>
        <v>1.0000000096125872</v>
      </c>
      <c r="AB34" s="18">
        <f t="shared" si="73"/>
        <v>1.7225461966768107E-4</v>
      </c>
      <c r="AC34" s="32" t="str">
        <f>IMDIV(IMSUM(COMPLEX(0,2*PI()*O34*Constants!$B$61*Constants!$B$62),COMPLEX(1,0)),IMSUM(COMPLEX(0,2*PI()*O34*Constants!$B$61*Constants!$B$62),COMPLEX(2,0)))</f>
        <v>0.50000001649642+0.0000908196563032399i</v>
      </c>
      <c r="AD34" s="18">
        <f t="shared" si="74"/>
        <v>0.50000002474462957</v>
      </c>
      <c r="AE34" s="18">
        <f t="shared" si="75"/>
        <v>1.8163930461608454E-4</v>
      </c>
      <c r="AF34" s="66" t="str">
        <f t="shared" si="76"/>
        <v>18.4847057400042-1.32743958805431i</v>
      </c>
      <c r="AG34" s="64">
        <f t="shared" si="77"/>
        <v>25.358590217732157</v>
      </c>
      <c r="AH34" s="61">
        <f t="shared" si="78"/>
        <v>-4.1075225348872673</v>
      </c>
      <c r="AI34" s="50" t="str">
        <f t="shared" si="55"/>
        <v>107.538871525172</v>
      </c>
      <c r="AJ34" s="50" t="str">
        <f t="shared" si="56"/>
        <v>1+0.0676724409391788i</v>
      </c>
      <c r="AK34" s="50">
        <f t="shared" si="79"/>
        <v>1.0022871640715882</v>
      </c>
      <c r="AL34" s="50">
        <f t="shared" si="80"/>
        <v>6.7569420546257142E-2</v>
      </c>
      <c r="AM34" s="50" t="str">
        <f t="shared" si="57"/>
        <v>1+0.0000817376933696746i</v>
      </c>
      <c r="AN34" s="50">
        <f t="shared" si="81"/>
        <v>1.0000000033405252</v>
      </c>
      <c r="AO34" s="50">
        <f t="shared" si="82"/>
        <v>8.1737693187643388E-5</v>
      </c>
      <c r="AP34" s="50" t="str">
        <f t="shared" si="58"/>
        <v>1-0.000235010035731363i</v>
      </c>
      <c r="AQ34" s="50">
        <f t="shared" si="83"/>
        <v>1.000000027614858</v>
      </c>
      <c r="AR34" s="50">
        <f t="shared" si="84"/>
        <v>-2.3501003140485058E-4</v>
      </c>
      <c r="AS34" s="59" t="str">
        <f t="shared" si="85"/>
        <v>107.047527667139-7.26065022847314i</v>
      </c>
      <c r="AT34" s="50">
        <f t="shared" si="86"/>
        <v>40.611466394697985</v>
      </c>
      <c r="AU34" s="61">
        <f t="shared" si="87"/>
        <v>-3.8802244795410159</v>
      </c>
      <c r="AV34" s="32" t="str">
        <f t="shared" si="59"/>
        <v>-0.0000333333333333333</v>
      </c>
      <c r="AW34" s="32" t="str">
        <f t="shared" si="60"/>
        <v>4.35934364638264E-06i</v>
      </c>
      <c r="AX34" s="32">
        <f t="shared" si="88"/>
        <v>4.3593436463826404E-6</v>
      </c>
      <c r="AY34" s="32">
        <f t="shared" si="89"/>
        <v>1.5707963267948966</v>
      </c>
      <c r="AZ34" s="32" t="str">
        <f t="shared" si="61"/>
        <v>1+0.00177855166128459i</v>
      </c>
      <c r="BA34" s="32">
        <f t="shared" si="90"/>
        <v>1.0000015816217551</v>
      </c>
      <c r="BB34" s="32">
        <f t="shared" si="91"/>
        <v>1.7785497859559994E-3</v>
      </c>
      <c r="BC34" s="32" t="str">
        <f t="shared" si="62"/>
        <v>1+0.0853704797416603i</v>
      </c>
      <c r="BD34" s="32">
        <f t="shared" si="92"/>
        <v>1.0036374439065738</v>
      </c>
      <c r="BE34" s="32">
        <f t="shared" si="93"/>
        <v>8.5163985233131873E-2</v>
      </c>
      <c r="BF34" s="59" t="str">
        <f t="shared" si="94"/>
        <v>-0.639176218869116+7.64754783610746i</v>
      </c>
      <c r="BG34" s="50">
        <f t="shared" si="95"/>
        <v>17.70067616695669</v>
      </c>
      <c r="BH34" s="61">
        <f t="shared" si="96"/>
        <v>94.777633523983738</v>
      </c>
      <c r="BI34" s="59" t="str">
        <f t="shared" si="97"/>
        <v>-1.66332657261601+142.211139199722i</v>
      </c>
      <c r="BJ34" s="64">
        <f t="shared" si="98"/>
        <v>43.05926638468884</v>
      </c>
      <c r="BK34" s="61">
        <f t="shared" si="99"/>
        <v>90.670110989096457</v>
      </c>
      <c r="BL34" s="59" t="str">
        <f t="shared" si="100"/>
        <v>-12.8960640300761+823.291923531049i</v>
      </c>
      <c r="BM34" s="64">
        <f t="shared" si="101"/>
        <v>58.312142561654682</v>
      </c>
      <c r="BN34" s="61">
        <f t="shared" si="102"/>
        <v>90.897409044442725</v>
      </c>
      <c r="BO34" s="50">
        <f t="shared" si="103"/>
        <v>43.05926638468884</v>
      </c>
      <c r="BP34" s="61">
        <f t="shared" si="104"/>
        <v>90.670110989096457</v>
      </c>
    </row>
    <row r="35" spans="1:68" x14ac:dyDescent="0.25">
      <c r="A35" t="s">
        <v>411</v>
      </c>
      <c r="B35">
        <f>1/((0.5-(1-(VIN_var/VOUT)))*(R_cs*Acs/(Lm*Fsw))+(Vsl*Acs/VOUT))</f>
        <v>115.99297012302284</v>
      </c>
      <c r="E35" s="32" t="s">
        <v>413</v>
      </c>
      <c r="N35" s="11">
        <v>17</v>
      </c>
      <c r="O35" s="51">
        <f t="shared" si="63"/>
        <v>14.791083881682074</v>
      </c>
      <c r="P35" s="49" t="str">
        <f t="shared" si="52"/>
        <v>37.1583961085025</v>
      </c>
      <c r="Q35" s="18" t="str">
        <f t="shared" si="64"/>
        <v>1+0.0728434695016809i</v>
      </c>
      <c r="R35" s="18">
        <f t="shared" si="65"/>
        <v>1.0026495753996221</v>
      </c>
      <c r="S35" s="18">
        <f t="shared" si="66"/>
        <v>7.2715038171895743E-2</v>
      </c>
      <c r="T35" s="18" t="str">
        <f t="shared" si="53"/>
        <v>1+0.0000836416088303811i</v>
      </c>
      <c r="U35" s="18">
        <f t="shared" si="67"/>
        <v>1.0000000034979593</v>
      </c>
      <c r="V35" s="18">
        <f t="shared" si="68"/>
        <v>8.3641608635331134E-5</v>
      </c>
      <c r="W35" s="32" t="str">
        <f t="shared" si="54"/>
        <v>1-0.000732106095809901i</v>
      </c>
      <c r="X35" s="18">
        <f t="shared" si="69"/>
        <v>1.0000002679896318</v>
      </c>
      <c r="Y35" s="18">
        <f t="shared" si="70"/>
        <v>-7.3210596501203007E-4</v>
      </c>
      <c r="Z35" s="32" t="str">
        <f t="shared" si="71"/>
        <v>0.999999994530596+0.000176266946016618i</v>
      </c>
      <c r="AA35" s="18">
        <f t="shared" si="72"/>
        <v>1.0000000100656141</v>
      </c>
      <c r="AB35" s="18">
        <f t="shared" si="73"/>
        <v>1.7626694515515302E-4</v>
      </c>
      <c r="AC35" s="32" t="str">
        <f>IMDIV(IMSUM(COMPLEX(0,2*PI()*O35*Constants!$B$61*Constants!$B$62),COMPLEX(1,0)),IMSUM(COMPLEX(0,2*PI()*O35*Constants!$B$61*Constants!$B$62),COMPLEX(2,0)))</f>
        <v>0.500000017273873+0.0000929351177119466i</v>
      </c>
      <c r="AD35" s="18">
        <f t="shared" si="74"/>
        <v>0.50000002591080872</v>
      </c>
      <c r="AE35" s="18">
        <f t="shared" si="75"/>
        <v>1.858702268620302E-4</v>
      </c>
      <c r="AF35" s="66" t="str">
        <f t="shared" si="76"/>
        <v>18.4802759596019-1.35803694759199i</v>
      </c>
      <c r="AG35" s="64">
        <f t="shared" si="77"/>
        <v>25.357558522761639</v>
      </c>
      <c r="AH35" s="61">
        <f t="shared" si="78"/>
        <v>-4.2028688376560712</v>
      </c>
      <c r="AI35" s="50" t="str">
        <f t="shared" si="55"/>
        <v>107.538871525172</v>
      </c>
      <c r="AJ35" s="50" t="str">
        <f t="shared" si="56"/>
        <v>1+0.0692487345835949i</v>
      </c>
      <c r="AK35" s="50">
        <f t="shared" si="79"/>
        <v>1.0023948260248698</v>
      </c>
      <c r="AL35" s="50">
        <f t="shared" si="80"/>
        <v>6.9138360482474723E-2</v>
      </c>
      <c r="AM35" s="50" t="str">
        <f t="shared" si="57"/>
        <v>1+0.0000836416088303811i</v>
      </c>
      <c r="AN35" s="50">
        <f t="shared" si="81"/>
        <v>1.0000000034979593</v>
      </c>
      <c r="AO35" s="50">
        <f t="shared" si="82"/>
        <v>8.3641608635331134E-5</v>
      </c>
      <c r="AP35" s="50" t="str">
        <f t="shared" si="58"/>
        <v>1-0.000240484122679553i</v>
      </c>
      <c r="AQ35" s="50">
        <f t="shared" si="83"/>
        <v>1.0000000289163062</v>
      </c>
      <c r="AR35" s="50">
        <f t="shared" si="84"/>
        <v>-2.4048411804361141E-4</v>
      </c>
      <c r="AS35" s="59" t="str">
        <f t="shared" si="85"/>
        <v>107.024481858094-7.42817660508446i</v>
      </c>
      <c r="AT35" s="50">
        <f t="shared" si="86"/>
        <v>40.610533451569204</v>
      </c>
      <c r="AU35" s="61">
        <f t="shared" si="87"/>
        <v>-3.9703226719372271</v>
      </c>
      <c r="AV35" s="32" t="str">
        <f t="shared" si="59"/>
        <v>-0.0000333333333333333</v>
      </c>
      <c r="AW35" s="32" t="str">
        <f t="shared" si="60"/>
        <v>4.46088580428699E-06i</v>
      </c>
      <c r="AX35" s="32">
        <f t="shared" si="88"/>
        <v>4.4608858042869897E-6</v>
      </c>
      <c r="AY35" s="32">
        <f t="shared" si="89"/>
        <v>1.5707963267948966</v>
      </c>
      <c r="AZ35" s="32" t="str">
        <f t="shared" si="61"/>
        <v>1+0.00181997945140181i</v>
      </c>
      <c r="BA35" s="32">
        <f t="shared" si="90"/>
        <v>1.0000016561612304</v>
      </c>
      <c r="BB35" s="32">
        <f t="shared" si="91"/>
        <v>1.8199774419512013E-3</v>
      </c>
      <c r="BC35" s="32" t="str">
        <f t="shared" si="62"/>
        <v>1+0.0873590136672871i</v>
      </c>
      <c r="BD35" s="32">
        <f t="shared" si="92"/>
        <v>1.0038085461226762</v>
      </c>
      <c r="BE35" s="32">
        <f t="shared" si="93"/>
        <v>8.713779612976294E-2</v>
      </c>
      <c r="BF35" s="59" t="str">
        <f t="shared" si="94"/>
        <v>-0.639176123581559+7.47352075087673i</v>
      </c>
      <c r="BG35" s="50">
        <f t="shared" si="95"/>
        <v>17.502156181986578</v>
      </c>
      <c r="BH35" s="61">
        <f t="shared" si="96"/>
        <v>94.88835092807399</v>
      </c>
      <c r="BI35" s="59" t="str">
        <f t="shared" si="97"/>
        <v>-1.66283384228979+138.980750657856i</v>
      </c>
      <c r="BJ35" s="64">
        <f t="shared" si="98"/>
        <v>42.859714704748242</v>
      </c>
      <c r="BK35" s="61">
        <f t="shared" si="99"/>
        <v>90.685482090417921</v>
      </c>
      <c r="BL35" s="59" t="str">
        <f t="shared" si="100"/>
        <v>-12.8928614431056+804.597599146013i</v>
      </c>
      <c r="BM35" s="64">
        <f t="shared" si="101"/>
        <v>58.112689633555775</v>
      </c>
      <c r="BN35" s="61">
        <f t="shared" si="102"/>
        <v>90.918028256136765</v>
      </c>
      <c r="BO35" s="50">
        <f t="shared" si="103"/>
        <v>42.859714704748242</v>
      </c>
      <c r="BP35" s="61">
        <f t="shared" si="104"/>
        <v>90.685482090417921</v>
      </c>
    </row>
    <row r="36" spans="1:68" x14ac:dyDescent="0.25">
      <c r="A36" t="s">
        <v>412</v>
      </c>
      <c r="B36">
        <f>2+((VOUT*((VIN_var/VOUT)^2))/(IOUT_VAR*R_cs*Acs))*((1/Km)+(Kex/(VIN_var/VOUT)))</f>
        <v>2.3486677685950412</v>
      </c>
      <c r="E36" s="32" t="s">
        <v>413</v>
      </c>
      <c r="N36" s="11">
        <v>18</v>
      </c>
      <c r="O36" s="51">
        <f t="shared" si="63"/>
        <v>15.135612484362087</v>
      </c>
      <c r="P36" s="49" t="str">
        <f t="shared" si="52"/>
        <v>37.1583961085025</v>
      </c>
      <c r="Q36" s="18" t="str">
        <f t="shared" si="64"/>
        <v>1+0.0745402118744869i</v>
      </c>
      <c r="R36" s="18">
        <f t="shared" si="65"/>
        <v>1.0027742732969835</v>
      </c>
      <c r="S36" s="18">
        <f t="shared" si="66"/>
        <v>7.4402615779671485E-2</v>
      </c>
      <c r="T36" s="18" t="str">
        <f t="shared" si="53"/>
        <v>1+0.0000855898721792171i</v>
      </c>
      <c r="U36" s="18">
        <f t="shared" si="67"/>
        <v>1.0000000036628132</v>
      </c>
      <c r="V36" s="18">
        <f t="shared" si="68"/>
        <v>8.5589871970217287E-5</v>
      </c>
      <c r="W36" s="32" t="str">
        <f t="shared" si="54"/>
        <v>1-0.000749159037448295i</v>
      </c>
      <c r="X36" s="18">
        <f t="shared" si="69"/>
        <v>1.0000002806195922</v>
      </c>
      <c r="Y36" s="18">
        <f t="shared" si="70"/>
        <v>-7.4915889729585338E-4</v>
      </c>
      <c r="Z36" s="32" t="str">
        <f t="shared" si="71"/>
        <v>0.999999994272831+0.000180372730629535i</v>
      </c>
      <c r="AA36" s="18">
        <f t="shared" si="72"/>
        <v>1.000000010539992</v>
      </c>
      <c r="AB36" s="18">
        <f t="shared" si="73"/>
        <v>1.8037272970645863E-4</v>
      </c>
      <c r="AC36" s="32" t="str">
        <f>IMDIV(IMSUM(COMPLEX(0,2*PI()*O36*Constants!$B$61*Constants!$B$62),COMPLEX(1,0)),IMSUM(COMPLEX(0,2*PI()*O36*Constants!$B$61*Constants!$B$62),COMPLEX(2,0)))</f>
        <v>0.500000018087965+0.0000950998545365819i</v>
      </c>
      <c r="AD36" s="18">
        <f t="shared" si="74"/>
        <v>0.50000002713194691</v>
      </c>
      <c r="AE36" s="18">
        <f t="shared" si="75"/>
        <v>1.9019969989896257E-4</v>
      </c>
      <c r="AF36" s="66" t="str">
        <f t="shared" si="76"/>
        <v>18.4756396652869-1.38932410140468i</v>
      </c>
      <c r="AG36" s="64">
        <f t="shared" si="77"/>
        <v>25.35647846818696</v>
      </c>
      <c r="AH36" s="61">
        <f t="shared" si="78"/>
        <v>-4.3004125295579749</v>
      </c>
      <c r="AI36" s="50" t="str">
        <f t="shared" si="55"/>
        <v>107.538871525172</v>
      </c>
      <c r="AJ36" s="50" t="str">
        <f t="shared" si="56"/>
        <v>1+0.0708617448237026i</v>
      </c>
      <c r="AK36" s="50">
        <f t="shared" si="79"/>
        <v>1.0025075495373885</v>
      </c>
      <c r="AL36" s="50">
        <f t="shared" si="80"/>
        <v>7.0743492814650935E-2</v>
      </c>
      <c r="AM36" s="50" t="str">
        <f t="shared" si="57"/>
        <v>1+0.0000855898721792171i</v>
      </c>
      <c r="AN36" s="50">
        <f t="shared" si="81"/>
        <v>1.0000000036628132</v>
      </c>
      <c r="AO36" s="50">
        <f t="shared" si="82"/>
        <v>8.5589871970217287E-5</v>
      </c>
      <c r="AP36" s="50" t="str">
        <f t="shared" si="58"/>
        <v>1-0.000246085717492772i</v>
      </c>
      <c r="AQ36" s="50">
        <f t="shared" si="83"/>
        <v>1.0000000302790897</v>
      </c>
      <c r="AR36" s="50">
        <f t="shared" si="84"/>
        <v>-2.460857125252711E-4</v>
      </c>
      <c r="AS36" s="59" t="str">
        <f t="shared" si="85"/>
        <v>107.000360542412-7.59949178689004i</v>
      </c>
      <c r="AT36" s="50">
        <f t="shared" si="86"/>
        <v>40.609556754947185</v>
      </c>
      <c r="AU36" s="61">
        <f t="shared" si="87"/>
        <v>-4.0624993005867545</v>
      </c>
      <c r="AV36" s="32" t="str">
        <f t="shared" si="59"/>
        <v>-0.0000333333333333333</v>
      </c>
      <c r="AW36" s="32" t="str">
        <f t="shared" si="60"/>
        <v>4.56479318289157E-06i</v>
      </c>
      <c r="AX36" s="32">
        <f t="shared" si="88"/>
        <v>4.5647931828915699E-6</v>
      </c>
      <c r="AY36" s="32">
        <f t="shared" si="89"/>
        <v>1.5707963267948966</v>
      </c>
      <c r="AZ36" s="32" t="str">
        <f t="shared" si="61"/>
        <v>1+0.00186237221871445i</v>
      </c>
      <c r="BA36" s="32">
        <f t="shared" si="90"/>
        <v>1.0000017342136367</v>
      </c>
      <c r="BB36" s="32">
        <f t="shared" si="91"/>
        <v>1.8623700655495314E-3</v>
      </c>
      <c r="BC36" s="32" t="str">
        <f t="shared" si="62"/>
        <v>1+0.0893938664982935i</v>
      </c>
      <c r="BD36" s="32">
        <f t="shared" si="92"/>
        <v>1.0039876808843398</v>
      </c>
      <c r="BE36" s="32">
        <f t="shared" si="93"/>
        <v>8.9156878454854774E-2</v>
      </c>
      <c r="BF36" s="59" t="str">
        <f t="shared" si="94"/>
        <v>-0.639176023803266+7.30345622525549i</v>
      </c>
      <c r="BG36" s="50">
        <f t="shared" si="95"/>
        <v>17.303705407109284</v>
      </c>
      <c r="BH36" s="61">
        <f t="shared" si="96"/>
        <v>95.001606905376548</v>
      </c>
      <c r="BI36" s="59" t="str">
        <f t="shared" si="97"/>
        <v>-1.66231814117848+135.824048183927i</v>
      </c>
      <c r="BJ36" s="64">
        <f t="shared" si="98"/>
        <v>42.660183875296262</v>
      </c>
      <c r="BK36" s="61">
        <f t="shared" si="99"/>
        <v>90.701194375818574</v>
      </c>
      <c r="BL36" s="59" t="str">
        <f t="shared" si="100"/>
        <v>-12.8895093972747+786.329862251331i</v>
      </c>
      <c r="BM36" s="64">
        <f t="shared" si="101"/>
        <v>57.913262162056469</v>
      </c>
      <c r="BN36" s="61">
        <f t="shared" si="102"/>
        <v>90.939107604789797</v>
      </c>
      <c r="BO36" s="50">
        <f t="shared" si="103"/>
        <v>42.660183875296262</v>
      </c>
      <c r="BP36" s="61">
        <f t="shared" si="104"/>
        <v>90.701194375818574</v>
      </c>
    </row>
    <row r="37" spans="1:68" x14ac:dyDescent="0.25">
      <c r="E37" s="336"/>
      <c r="K37" s="32"/>
      <c r="N37" s="11">
        <v>19</v>
      </c>
      <c r="O37" s="51">
        <f t="shared" si="63"/>
        <v>15.488166189124817</v>
      </c>
      <c r="P37" s="49" t="str">
        <f t="shared" si="52"/>
        <v>37.1583961085025</v>
      </c>
      <c r="Q37" s="18" t="str">
        <f t="shared" si="64"/>
        <v>1+0.0762764764542851i</v>
      </c>
      <c r="R37" s="18">
        <f t="shared" si="65"/>
        <v>1.0029048314073878</v>
      </c>
      <c r="S37" s="18">
        <f t="shared" si="66"/>
        <v>7.612906263644427E-2</v>
      </c>
      <c r="T37" s="18" t="str">
        <f t="shared" si="53"/>
        <v>1+0.0000875835164111983i</v>
      </c>
      <c r="U37" s="18">
        <f t="shared" si="67"/>
        <v>1.0000000038354362</v>
      </c>
      <c r="V37" s="18">
        <f t="shared" si="68"/>
        <v>8.7583516187250975E-5</v>
      </c>
      <c r="W37" s="32" t="str">
        <f t="shared" si="54"/>
        <v>1-0.000766609193124635i</v>
      </c>
      <c r="X37" s="18">
        <f t="shared" si="69"/>
        <v>1.0000002938447843</v>
      </c>
      <c r="Y37" s="18">
        <f t="shared" si="70"/>
        <v>-7.6660904294859056E-4</v>
      </c>
      <c r="Z37" s="32" t="str">
        <f t="shared" si="71"/>
        <v>0.999999994002918+0.000184574151251747i</v>
      </c>
      <c r="AA37" s="18">
        <f t="shared" si="72"/>
        <v>1.0000000110367264</v>
      </c>
      <c r="AB37" s="18">
        <f t="shared" si="73"/>
        <v>1.8457415026265284E-4</v>
      </c>
      <c r="AC37" s="32" t="str">
        <f>IMDIV(IMSUM(COMPLEX(0,2*PI()*O37*Constants!$B$61*Constants!$B$62),COMPLEX(1,0)),IMSUM(COMPLEX(0,2*PI()*O37*Constants!$B$61*Constants!$B$62),COMPLEX(2,0)))</f>
        <v>0.500000018940425+0.0000973150145482892i</v>
      </c>
      <c r="AD37" s="18">
        <f t="shared" si="74"/>
        <v>0.50000002841063662</v>
      </c>
      <c r="AE37" s="18">
        <f t="shared" si="75"/>
        <v>1.9463001926624452E-4</v>
      </c>
      <c r="AF37" s="66" t="str">
        <f t="shared" si="76"/>
        <v>18.470787340091-1.42131549874419i</v>
      </c>
      <c r="AG37" s="64">
        <f t="shared" si="77"/>
        <v>25.355347800090001</v>
      </c>
      <c r="AH37" s="61">
        <f t="shared" si="78"/>
        <v>-4.4002031253671818</v>
      </c>
      <c r="AI37" s="50" t="str">
        <f t="shared" si="55"/>
        <v>107.538871525172</v>
      </c>
      <c r="AJ37" s="50" t="str">
        <f t="shared" si="56"/>
        <v>1+0.0725123268988819i</v>
      </c>
      <c r="AK37" s="50">
        <f t="shared" si="79"/>
        <v>1.0026255719620811</v>
      </c>
      <c r="AL37" s="50">
        <f t="shared" si="80"/>
        <v>7.2385635502271214E-2</v>
      </c>
      <c r="AM37" s="50" t="str">
        <f t="shared" si="57"/>
        <v>1+0.0000875835164111983i</v>
      </c>
      <c r="AN37" s="50">
        <f t="shared" si="81"/>
        <v>1.0000000038354362</v>
      </c>
      <c r="AO37" s="50">
        <f t="shared" si="82"/>
        <v>8.7583516187250975E-5</v>
      </c>
      <c r="AP37" s="50" t="str">
        <f t="shared" si="58"/>
        <v>1-0.000251817790210735i</v>
      </c>
      <c r="AQ37" s="50">
        <f t="shared" si="83"/>
        <v>1.0000000317060993</v>
      </c>
      <c r="AR37" s="50">
        <f t="shared" si="84"/>
        <v>-2.5181778488796191E-4</v>
      </c>
      <c r="AS37" s="59" t="str">
        <f t="shared" si="85"/>
        <v>106.975114048696-7.77467600841437i</v>
      </c>
      <c r="AT37" s="50">
        <f t="shared" si="86"/>
        <v>40.608534263406774</v>
      </c>
      <c r="AU37" s="61">
        <f t="shared" si="87"/>
        <v>-4.1568013421004411</v>
      </c>
      <c r="AV37" s="32" t="str">
        <f t="shared" si="59"/>
        <v>-0.0000333333333333333</v>
      </c>
      <c r="AW37" s="32" t="str">
        <f t="shared" si="60"/>
        <v>4.67112087526391E-06i</v>
      </c>
      <c r="AX37" s="32">
        <f t="shared" si="88"/>
        <v>4.6711208752639097E-6</v>
      </c>
      <c r="AY37" s="32">
        <f t="shared" si="89"/>
        <v>1.5707963267948966</v>
      </c>
      <c r="AZ37" s="32" t="str">
        <f t="shared" si="61"/>
        <v>1+0.00190575244042885i</v>
      </c>
      <c r="BA37" s="32">
        <f t="shared" si="90"/>
        <v>1.0000018159445332</v>
      </c>
      <c r="BB37" s="32">
        <f t="shared" si="91"/>
        <v>1.9057501332712988E-3</v>
      </c>
      <c r="BC37" s="32" t="str">
        <f t="shared" si="62"/>
        <v>1+0.0914761171405851i</v>
      </c>
      <c r="BD37" s="32">
        <f t="shared" si="92"/>
        <v>1.0041752237568491</v>
      </c>
      <c r="BE37" s="32">
        <f t="shared" si="93"/>
        <v>9.1222236866657438E-2</v>
      </c>
      <c r="BF37" s="59" t="str">
        <f t="shared" si="94"/>
        <v>-0.639175919322599+7.13726408878006i</v>
      </c>
      <c r="BG37" s="50">
        <f t="shared" si="95"/>
        <v>17.105327052337643</v>
      </c>
      <c r="BH37" s="61">
        <f t="shared" si="96"/>
        <v>95.117457730759213</v>
      </c>
      <c r="BI37" s="59" t="str">
        <f t="shared" si="97"/>
        <v>-1.66177841070146+132.739357814482i</v>
      </c>
      <c r="BJ37" s="64">
        <f t="shared" si="98"/>
        <v>42.46067485242763</v>
      </c>
      <c r="BK37" s="61">
        <f t="shared" si="99"/>
        <v>90.717254605392029</v>
      </c>
      <c r="BL37" s="59" t="str">
        <f t="shared" si="100"/>
        <v>-12.8860009899594+768.479025578023i</v>
      </c>
      <c r="BM37" s="64">
        <f t="shared" si="101"/>
        <v>57.713861315744417</v>
      </c>
      <c r="BN37" s="61">
        <f t="shared" si="102"/>
        <v>90.960656388658776</v>
      </c>
      <c r="BO37" s="50">
        <f t="shared" si="103"/>
        <v>42.46067485242763</v>
      </c>
      <c r="BP37" s="61">
        <f t="shared" si="104"/>
        <v>90.717254605392029</v>
      </c>
    </row>
    <row r="38" spans="1:68" x14ac:dyDescent="0.25">
      <c r="A38" t="s">
        <v>164</v>
      </c>
      <c r="B38" s="28">
        <f>(Gcomp*(VIN_var/VOUT)*(VOUT/IOUT))/(Kd*R_cs*Acs/1)</f>
        <v>37.158396108502515</v>
      </c>
      <c r="C38" t="s">
        <v>121</v>
      </c>
      <c r="E38" t="s">
        <v>168</v>
      </c>
      <c r="K38" s="32"/>
      <c r="N38" s="11">
        <v>20</v>
      </c>
      <c r="O38" s="51">
        <f t="shared" si="63"/>
        <v>15.848931924611136</v>
      </c>
      <c r="P38" s="49" t="str">
        <f t="shared" si="52"/>
        <v>37.1583961085025</v>
      </c>
      <c r="Q38" s="18" t="str">
        <f t="shared" si="64"/>
        <v>1+0.0780531838315379i</v>
      </c>
      <c r="R38" s="18">
        <f t="shared" si="65"/>
        <v>1.0030415243180313</v>
      </c>
      <c r="S38" s="18">
        <f t="shared" si="66"/>
        <v>7.7895252937114287E-2</v>
      </c>
      <c r="T38" s="18" t="str">
        <f t="shared" si="53"/>
        <v>1+0.0000896235985828857i</v>
      </c>
      <c r="U38" s="18">
        <f t="shared" si="67"/>
        <v>1.0000000040161947</v>
      </c>
      <c r="V38" s="18">
        <f t="shared" si="68"/>
        <v>8.9623598342921819E-5</v>
      </c>
      <c r="W38" s="32" t="str">
        <f t="shared" si="54"/>
        <v>1-0.000784465815142442i</v>
      </c>
      <c r="X38" s="18">
        <f t="shared" si="69"/>
        <v>1.0000003076932602</v>
      </c>
      <c r="Y38" s="18">
        <f t="shared" si="70"/>
        <v>-7.8446565422591382E-4</v>
      </c>
      <c r="Z38" s="32" t="str">
        <f t="shared" si="71"/>
        <v>0.999999993720284+0.000188873435532081i</v>
      </c>
      <c r="AA38" s="18">
        <f t="shared" si="72"/>
        <v>1.0000000115568712</v>
      </c>
      <c r="AB38" s="18">
        <f t="shared" si="73"/>
        <v>1.8887343447224751E-4</v>
      </c>
      <c r="AC38" s="32" t="str">
        <f>IMDIV(IMSUM(COMPLEX(0,2*PI()*O38*Constants!$B$61*Constants!$B$62),COMPLEX(1,0)),IMSUM(COMPLEX(0,2*PI()*O38*Constants!$B$61*Constants!$B$62),COMPLEX(2,0)))</f>
        <v>0.50000001983306+0.0000995817722531837i</v>
      </c>
      <c r="AD38" s="18">
        <f t="shared" si="74"/>
        <v>0.5000000297495889</v>
      </c>
      <c r="AE38" s="18">
        <f t="shared" si="75"/>
        <v>1.9916353397297486E-4</v>
      </c>
      <c r="AF38" s="66" t="str">
        <f t="shared" si="76"/>
        <v>18.4657090390671-1.45402581216292i</v>
      </c>
      <c r="AG38" s="64">
        <f t="shared" si="77"/>
        <v>25.354164160738776</v>
      </c>
      <c r="AH38" s="61">
        <f t="shared" si="78"/>
        <v>-4.5022911753588115</v>
      </c>
      <c r="AI38" s="50" t="str">
        <f t="shared" si="55"/>
        <v>107.538871525172</v>
      </c>
      <c r="AJ38" s="50" t="str">
        <f t="shared" si="56"/>
        <v>1+0.0742013559695971i</v>
      </c>
      <c r="AK38" s="50">
        <f t="shared" si="79"/>
        <v>1.0027491417237548</v>
      </c>
      <c r="AL38" s="50">
        <f t="shared" si="80"/>
        <v>7.4065623785206466E-2</v>
      </c>
      <c r="AM38" s="50" t="str">
        <f t="shared" si="57"/>
        <v>1+0.0000896235985828857i</v>
      </c>
      <c r="AN38" s="50">
        <f t="shared" si="81"/>
        <v>1.0000000040161947</v>
      </c>
      <c r="AO38" s="50">
        <f t="shared" si="82"/>
        <v>8.9623598342921819E-5</v>
      </c>
      <c r="AP38" s="50" t="str">
        <f t="shared" si="58"/>
        <v>1-0.00025768338005427i</v>
      </c>
      <c r="AQ38" s="50">
        <f t="shared" si="83"/>
        <v>1.0000000332003616</v>
      </c>
      <c r="AR38" s="50">
        <f t="shared" si="84"/>
        <v>-2.5768337435081584E-4</v>
      </c>
      <c r="AS38" s="59" t="str">
        <f t="shared" si="85"/>
        <v>106.948690461453-7.95381081066075i</v>
      </c>
      <c r="AT38" s="50">
        <f t="shared" si="86"/>
        <v>40.60746384128727</v>
      </c>
      <c r="AU38" s="61">
        <f t="shared" si="87"/>
        <v>-4.2532767657672741</v>
      </c>
      <c r="AV38" s="32" t="str">
        <f t="shared" si="59"/>
        <v>-0.0000333333333333333</v>
      </c>
      <c r="AW38" s="32" t="str">
        <f t="shared" si="60"/>
        <v>0.0000047799252577539i</v>
      </c>
      <c r="AX38" s="32">
        <f t="shared" si="88"/>
        <v>4.7799252577539002E-6</v>
      </c>
      <c r="AY38" s="32">
        <f t="shared" si="89"/>
        <v>1.5707963267948966</v>
      </c>
      <c r="AZ38" s="32" t="str">
        <f t="shared" si="61"/>
        <v>1+0.00195014311731279i</v>
      </c>
      <c r="BA38" s="32">
        <f t="shared" si="90"/>
        <v>1.000001901527281</v>
      </c>
      <c r="BB38" s="32">
        <f t="shared" si="91"/>
        <v>1.9501406451491875E-3</v>
      </c>
      <c r="BC38" s="32" t="str">
        <f t="shared" si="62"/>
        <v>1+0.0936068696310141i</v>
      </c>
      <c r="BD38" s="32">
        <f t="shared" si="92"/>
        <v>1.0043715677188985</v>
      </c>
      <c r="BE38" s="32">
        <f t="shared" si="93"/>
        <v>9.3334895924867989E-2</v>
      </c>
      <c r="BF38" s="59" t="str">
        <f t="shared" si="94"/>
        <v>-0.639175809917949+6.97485622417856i</v>
      </c>
      <c r="BG38" s="50">
        <f t="shared" si="95"/>
        <v>16.907024474036263</v>
      </c>
      <c r="BH38" s="61">
        <f t="shared" si="96"/>
        <v>95.235960789363745</v>
      </c>
      <c r="BI38" s="59" t="str">
        <f t="shared" si="97"/>
        <v>-1.66121354467408+129.725043751138i</v>
      </c>
      <c r="BJ38" s="64">
        <f t="shared" si="98"/>
        <v>42.261188634775024</v>
      </c>
      <c r="BK38" s="61">
        <f t="shared" si="99"/>
        <v>90.733669614004938</v>
      </c>
      <c r="BL38" s="59" t="str">
        <f t="shared" si="100"/>
        <v>-12.8823290066874+751.03562279965i</v>
      </c>
      <c r="BM38" s="64">
        <f t="shared" si="101"/>
        <v>57.51448831532354</v>
      </c>
      <c r="BN38" s="61">
        <f t="shared" si="102"/>
        <v>90.982684023596477</v>
      </c>
      <c r="BO38" s="50">
        <f t="shared" si="103"/>
        <v>42.261188634775024</v>
      </c>
      <c r="BP38" s="61">
        <f t="shared" si="104"/>
        <v>90.733669614004938</v>
      </c>
    </row>
    <row r="39" spans="1:68" x14ac:dyDescent="0.25">
      <c r="A39" t="s">
        <v>181</v>
      </c>
      <c r="B39" s="30">
        <f>Kd/(Cout*(VOUT/IOUT_VAR))</f>
        <v>1275.8195286195287</v>
      </c>
      <c r="C39" t="s">
        <v>180</v>
      </c>
      <c r="E39" t="s">
        <v>171</v>
      </c>
      <c r="N39" s="11">
        <v>21</v>
      </c>
      <c r="O39" s="51">
        <f t="shared" si="63"/>
        <v>16.218100973589298</v>
      </c>
      <c r="P39" s="49" t="str">
        <f t="shared" si="52"/>
        <v>37.1583961085025</v>
      </c>
      <c r="Q39" s="18" t="str">
        <f t="shared" si="64"/>
        <v>1+0.079871276040014i</v>
      </c>
      <c r="R39" s="18">
        <f t="shared" si="65"/>
        <v>1.0031846394040631</v>
      </c>
      <c r="S39" s="18">
        <f t="shared" si="66"/>
        <v>7.9702079038492968E-2</v>
      </c>
      <c r="T39" s="18" t="str">
        <f t="shared" si="53"/>
        <v>1+0.00009171120037285i</v>
      </c>
      <c r="U39" s="18">
        <f t="shared" si="67"/>
        <v>1.000000004205472</v>
      </c>
      <c r="V39" s="18">
        <f t="shared" si="68"/>
        <v>9.1711200115724071E-5</v>
      </c>
      <c r="W39" s="32" t="str">
        <f t="shared" si="54"/>
        <v>1-0.000802738371319068i</v>
      </c>
      <c r="X39" s="18">
        <f t="shared" si="69"/>
        <v>1.0000003221943945</v>
      </c>
      <c r="Y39" s="18">
        <f t="shared" si="70"/>
        <v>-8.027381988939046E-4</v>
      </c>
      <c r="Z39" s="32" t="str">
        <f t="shared" si="71"/>
        <v>0.99999999342433+0.000193272863007969i</v>
      </c>
      <c r="AA39" s="18">
        <f t="shared" si="72"/>
        <v>1.0000000121015296</v>
      </c>
      <c r="AB39" s="18">
        <f t="shared" si="73"/>
        <v>1.9327286187233701E-4</v>
      </c>
      <c r="AC39" s="32" t="str">
        <f>IMDIV(IMSUM(COMPLEX(0,2*PI()*O39*Constants!$B$61*Constants!$B$62),COMPLEX(1,0)),IMSUM(COMPLEX(0,2*PI()*O39*Constants!$B$61*Constants!$B$62),COMPLEX(2,0)))</f>
        <v>0.500000020767763+0.000101901329515086i</v>
      </c>
      <c r="AD39" s="18">
        <f t="shared" si="74"/>
        <v>0.50000003115164338</v>
      </c>
      <c r="AE39" s="18">
        <f t="shared" si="75"/>
        <v>2.0380264774343875E-4</v>
      </c>
      <c r="AF39" s="66" t="str">
        <f t="shared" si="76"/>
        <v>18.4603943710614-1.48746993491059i</v>
      </c>
      <c r="AG39" s="64">
        <f t="shared" si="77"/>
        <v>25.352925083924291</v>
      </c>
      <c r="AH39" s="61">
        <f t="shared" si="78"/>
        <v>-4.6067282811840071</v>
      </c>
      <c r="AI39" s="50" t="str">
        <f t="shared" si="55"/>
        <v>107.538871525172</v>
      </c>
      <c r="AJ39" s="50" t="str">
        <f t="shared" si="56"/>
        <v>1+0.0759297275814182i</v>
      </c>
      <c r="AK39" s="50">
        <f t="shared" si="79"/>
        <v>1.0028785188299669</v>
      </c>
      <c r="AL39" s="50">
        <f t="shared" si="80"/>
        <v>7.5784310461962615E-2</v>
      </c>
      <c r="AM39" s="50" t="str">
        <f t="shared" si="57"/>
        <v>1+0.00009171120037285i</v>
      </c>
      <c r="AN39" s="50">
        <f t="shared" si="81"/>
        <v>1.000000004205472</v>
      </c>
      <c r="AO39" s="50">
        <f t="shared" si="82"/>
        <v>9.1711200115724071E-5</v>
      </c>
      <c r="AP39" s="50" t="str">
        <f t="shared" si="58"/>
        <v>1-0.000263685597036752i</v>
      </c>
      <c r="AQ39" s="50">
        <f t="shared" si="83"/>
        <v>1.0000000347650464</v>
      </c>
      <c r="AR39" s="50">
        <f t="shared" si="84"/>
        <v>-2.6368559092539081E-4</v>
      </c>
      <c r="AS39" s="59" t="str">
        <f t="shared" si="85"/>
        <v>106.921035524491-8.13697903264623i</v>
      </c>
      <c r="AT39" s="50">
        <f t="shared" si="86"/>
        <v>40.606343254438208</v>
      </c>
      <c r="AU39" s="61">
        <f t="shared" si="87"/>
        <v>-4.3519745495573332</v>
      </c>
      <c r="AV39" s="32" t="str">
        <f t="shared" si="59"/>
        <v>-0.0000333333333333333</v>
      </c>
      <c r="AW39" s="32" t="str">
        <f t="shared" si="60"/>
        <v>4.89126401988534E-06i</v>
      </c>
      <c r="AX39" s="32">
        <f t="shared" si="88"/>
        <v>4.8912640198853401E-6</v>
      </c>
      <c r="AY39" s="32">
        <f t="shared" si="89"/>
        <v>1.5707963267948966</v>
      </c>
      <c r="AZ39" s="32" t="str">
        <f t="shared" si="61"/>
        <v>1+0.00199556778589072i</v>
      </c>
      <c r="BA39" s="32">
        <f t="shared" si="90"/>
        <v>1.0000019911434117</v>
      </c>
      <c r="BB39" s="32">
        <f t="shared" si="91"/>
        <v>1.9955651369199792E-3</v>
      </c>
      <c r="BC39" s="32" t="str">
        <f t="shared" si="62"/>
        <v>1+0.0957872537227546i</v>
      </c>
      <c r="BD39" s="32">
        <f t="shared" si="92"/>
        <v>1.0045771239560193</v>
      </c>
      <c r="BE39" s="32">
        <f t="shared" si="93"/>
        <v>9.5495900311702464E-2</v>
      </c>
      <c r="BF39" s="59" t="str">
        <f t="shared" si="94"/>
        <v>-0.639175695357256+6.81614652065019i</v>
      </c>
      <c r="BG39" s="50">
        <f t="shared" si="95"/>
        <v>16.708801181352484</v>
      </c>
      <c r="BH39" s="61">
        <f t="shared" si="96"/>
        <v>95.357174588573614</v>
      </c>
      <c r="BI39" s="59" t="str">
        <f t="shared" si="97"/>
        <v>-1.66062238727976+126.77950749211i</v>
      </c>
      <c r="BJ39" s="64">
        <f t="shared" si="98"/>
        <v>42.061726265276775</v>
      </c>
      <c r="BK39" s="61">
        <f t="shared" si="99"/>
        <v>90.750446307389609</v>
      </c>
      <c r="BL39" s="59" t="str">
        <f t="shared" si="100"/>
        <v>-12.8784859077093+733.990403505874i</v>
      </c>
      <c r="BM39" s="64">
        <f t="shared" si="101"/>
        <v>57.3151444357907</v>
      </c>
      <c r="BN39" s="61">
        <f t="shared" si="102"/>
        <v>91.005200039016287</v>
      </c>
      <c r="BO39" s="50">
        <f t="shared" si="103"/>
        <v>42.061726265276775</v>
      </c>
      <c r="BP39" s="61">
        <f t="shared" si="104"/>
        <v>90.750446307389609</v>
      </c>
    </row>
    <row r="40" spans="1:68" x14ac:dyDescent="0.25">
      <c r="B40" s="29">
        <f>wp_lf/(2*PI())</f>
        <v>203.05298447296983</v>
      </c>
      <c r="C40" t="s">
        <v>48</v>
      </c>
      <c r="N40" s="11">
        <v>22</v>
      </c>
      <c r="O40" s="51">
        <f t="shared" si="63"/>
        <v>16.595869074375614</v>
      </c>
      <c r="P40" s="49" t="str">
        <f t="shared" si="52"/>
        <v>37.1583961085025</v>
      </c>
      <c r="Q40" s="18" t="str">
        <f t="shared" si="64"/>
        <v>1+0.0817317170562683i</v>
      </c>
      <c r="R40" s="18">
        <f t="shared" si="65"/>
        <v>1.0033344774166619</v>
      </c>
      <c r="S40" s="18">
        <f t="shared" si="66"/>
        <v>8.1550451728543902E-2</v>
      </c>
      <c r="T40" s="18" t="str">
        <f t="shared" si="53"/>
        <v>1+0.0000938474286551938i</v>
      </c>
      <c r="U40" s="18">
        <f t="shared" si="67"/>
        <v>1.0000000044036699</v>
      </c>
      <c r="V40" s="18">
        <f t="shared" si="68"/>
        <v>9.3847428379678407E-5</v>
      </c>
      <c r="W40" s="32" t="str">
        <f t="shared" si="54"/>
        <v>1-0.000821436550005671i</v>
      </c>
      <c r="X40" s="18">
        <f t="shared" si="69"/>
        <v>1.0000003373789459</v>
      </c>
      <c r="Y40" s="18">
        <f t="shared" si="70"/>
        <v>-8.2143636524878308E-4</v>
      </c>
      <c r="Z40" s="32" t="str">
        <f t="shared" si="71"/>
        <v>0.999999993114428+0.000197774766314093i</v>
      </c>
      <c r="AA40" s="18">
        <f t="shared" si="72"/>
        <v>1.0000000126718571</v>
      </c>
      <c r="AB40" s="18">
        <f t="shared" si="73"/>
        <v>1.9777476509724143E-4</v>
      </c>
      <c r="AC40" s="32" t="str">
        <f>IMDIV(IMSUM(COMPLEX(0,2*PI()*O40*Constants!$B$61*Constants!$B$62),COMPLEX(1,0)),IMSUM(COMPLEX(0,2*PI()*O40*Constants!$B$61*Constants!$B$62),COMPLEX(2,0)))</f>
        <v>0.500000021746517+0.00010427491619276i</v>
      </c>
      <c r="AD40" s="18">
        <f t="shared" si="74"/>
        <v>0.50000003261977455</v>
      </c>
      <c r="AE40" s="18">
        <f t="shared" si="75"/>
        <v>2.085498202915677E-4</v>
      </c>
      <c r="AF40" s="66" t="str">
        <f t="shared" si="76"/>
        <v>18.4548324798085-1.5216629777476i</v>
      </c>
      <c r="AG40" s="64">
        <f t="shared" si="77"/>
        <v>25.351627990099544</v>
      </c>
      <c r="AH40" s="61">
        <f t="shared" si="78"/>
        <v>-4.7135671115472668</v>
      </c>
      <c r="AI40" s="50" t="str">
        <f t="shared" si="55"/>
        <v>107.538871525172</v>
      </c>
      <c r="AJ40" s="50" t="str">
        <f t="shared" si="56"/>
        <v>1+0.0776983581398522i</v>
      </c>
      <c r="AK40" s="50">
        <f t="shared" si="79"/>
        <v>1.0030139754049434</v>
      </c>
      <c r="AL40" s="50">
        <f t="shared" si="80"/>
        <v>7.7542566165826068E-2</v>
      </c>
      <c r="AM40" s="50" t="str">
        <f t="shared" si="57"/>
        <v>1+0.0000938474286551938i</v>
      </c>
      <c r="AN40" s="50">
        <f t="shared" si="81"/>
        <v>1.0000000044036699</v>
      </c>
      <c r="AO40" s="50">
        <f t="shared" si="82"/>
        <v>9.3847428379678407E-5</v>
      </c>
      <c r="AP40" s="50" t="str">
        <f t="shared" si="58"/>
        <v>1-0.000269827623613076i</v>
      </c>
      <c r="AQ40" s="50">
        <f t="shared" si="83"/>
        <v>1.0000000364034727</v>
      </c>
      <c r="AR40" s="50">
        <f t="shared" si="84"/>
        <v>-2.6982761706463451E-4</v>
      </c>
      <c r="AS40" s="59" t="str">
        <f t="shared" si="85"/>
        <v>106.892092540648-8.32426480011808i</v>
      </c>
      <c r="AT40" s="50">
        <f t="shared" si="86"/>
        <v>40.605170165784223</v>
      </c>
      <c r="AU40" s="61">
        <f t="shared" si="87"/>
        <v>-4.4529446960053516</v>
      </c>
      <c r="AV40" s="32" t="str">
        <f t="shared" si="59"/>
        <v>-0.0000333333333333333</v>
      </c>
      <c r="AW40" s="32" t="str">
        <f t="shared" si="60"/>
        <v>5.00519619494366E-06i</v>
      </c>
      <c r="AX40" s="32">
        <f t="shared" si="88"/>
        <v>5.0051961949436603E-6</v>
      </c>
      <c r="AY40" s="32">
        <f t="shared" si="89"/>
        <v>1.5707963267948966</v>
      </c>
      <c r="AZ40" s="32" t="str">
        <f t="shared" si="61"/>
        <v>1+0.0020420505309232i</v>
      </c>
      <c r="BA40" s="32">
        <f t="shared" si="90"/>
        <v>1.0000020849830118</v>
      </c>
      <c r="BB40" s="32">
        <f t="shared" si="91"/>
        <v>2.042047692500232E-3</v>
      </c>
      <c r="BC40" s="32" t="str">
        <f t="shared" si="62"/>
        <v>1+0.0980184254843137i</v>
      </c>
      <c r="BD40" s="32">
        <f t="shared" si="92"/>
        <v>1.0047923226888349</v>
      </c>
      <c r="BE40" s="32">
        <f t="shared" si="93"/>
        <v>9.7706315041710887E-2</v>
      </c>
      <c r="BF40" s="59" t="str">
        <f t="shared" si="94"/>
        <v>-0.639175575397533+6.66105082820783i</v>
      </c>
      <c r="BG40" s="50">
        <f t="shared" si="95"/>
        <v>16.510660842906077</v>
      </c>
      <c r="BH40" s="61">
        <f t="shared" si="96"/>
        <v>95.481158769320956</v>
      </c>
      <c r="BI40" s="59" t="str">
        <f t="shared" si="97"/>
        <v>-1.66000373096783+123.901186983428i</v>
      </c>
      <c r="BJ40" s="64">
        <f t="shared" si="98"/>
        <v>41.862288833005607</v>
      </c>
      <c r="BK40" s="61">
        <f t="shared" si="99"/>
        <v>90.767591657773693</v>
      </c>
      <c r="BL40" s="59" t="str">
        <f t="shared" si="100"/>
        <v>-12.8744638140672+717.334328290128i</v>
      </c>
      <c r="BM40" s="64">
        <f t="shared" si="101"/>
        <v>57.115831008690293</v>
      </c>
      <c r="BN40" s="61">
        <f t="shared" si="102"/>
        <v>91.028214073315596</v>
      </c>
      <c r="BO40" s="50">
        <f t="shared" si="103"/>
        <v>41.862288833005607</v>
      </c>
      <c r="BP40" s="61">
        <f t="shared" si="104"/>
        <v>90.767591657773693</v>
      </c>
    </row>
    <row r="41" spans="1:68" x14ac:dyDescent="0.25">
      <c r="B41" s="1"/>
      <c r="C41" t="s">
        <v>201</v>
      </c>
      <c r="E41" t="s">
        <v>200</v>
      </c>
      <c r="N41" s="11">
        <v>23</v>
      </c>
      <c r="O41" s="51">
        <f t="shared" si="63"/>
        <v>16.982436524617448</v>
      </c>
      <c r="P41" s="49" t="str">
        <f t="shared" si="52"/>
        <v>37.1583961085025</v>
      </c>
      <c r="Q41" s="18" t="str">
        <f t="shared" si="64"/>
        <v>1+0.0836354933107524i</v>
      </c>
      <c r="R41" s="18">
        <f t="shared" si="65"/>
        <v>1.003491353097441</v>
      </c>
      <c r="S41" s="18">
        <f t="shared" si="66"/>
        <v>8.3441300491322271E-2</v>
      </c>
      <c r="T41" s="18" t="str">
        <f t="shared" si="53"/>
        <v>1+0.0000960334160864275i</v>
      </c>
      <c r="U41" s="18">
        <f t="shared" si="67"/>
        <v>1.0000000046112085</v>
      </c>
      <c r="V41" s="18">
        <f t="shared" si="68"/>
        <v>9.6033415791207434E-5</v>
      </c>
      <c r="W41" s="32" t="str">
        <f t="shared" si="54"/>
        <v>1-0.00084057026522408i</v>
      </c>
      <c r="X41" s="18">
        <f t="shared" si="69"/>
        <v>1.0000003532791228</v>
      </c>
      <c r="Y41" s="18">
        <f t="shared" si="70"/>
        <v>-8.4057006725351158E-4</v>
      </c>
      <c r="Z41" s="32" t="str">
        <f t="shared" si="71"/>
        <v>0.999999992789921+0.000202381532419175i</v>
      </c>
      <c r="AA41" s="18">
        <f t="shared" si="72"/>
        <v>1.0000000132690632</v>
      </c>
      <c r="AB41" s="18">
        <f t="shared" si="73"/>
        <v>2.0238153111529504E-4</v>
      </c>
      <c r="AC41" s="32" t="str">
        <f>IMDIV(IMSUM(COMPLEX(0,2*PI()*O41*Constants!$B$61*Constants!$B$62),COMPLEX(1,0)),IMSUM(COMPLEX(0,2*PI()*O41*Constants!$B$61*Constants!$B$62),COMPLEX(2,0)))</f>
        <v>0.500000022771399+0.000106703790791997i</v>
      </c>
      <c r="AD41" s="18">
        <f t="shared" si="74"/>
        <v>0.50000003415709737</v>
      </c>
      <c r="AE41" s="18">
        <f t="shared" si="75"/>
        <v>2.1340756862509063E-4</v>
      </c>
      <c r="AF41" s="66" t="str">
        <f t="shared" si="76"/>
        <v>18.4490120243324-1.556620265128i</v>
      </c>
      <c r="AG41" s="64">
        <f t="shared" si="77"/>
        <v>25.350270181312418</v>
      </c>
      <c r="AH41" s="61">
        <f t="shared" si="78"/>
        <v>-4.8228614176431899</v>
      </c>
      <c r="AI41" s="50" t="str">
        <f t="shared" si="55"/>
        <v>107.538871525172</v>
      </c>
      <c r="AJ41" s="50" t="str">
        <f t="shared" si="56"/>
        <v>1+0.0795081853962307i</v>
      </c>
      <c r="AK41" s="50">
        <f t="shared" si="79"/>
        <v>1.0031557962475228</v>
      </c>
      <c r="AL41" s="50">
        <f t="shared" si="80"/>
        <v>7.9341279638272616E-2</v>
      </c>
      <c r="AM41" s="50" t="str">
        <f t="shared" si="57"/>
        <v>1+0.0000960334160864275i</v>
      </c>
      <c r="AN41" s="50">
        <f t="shared" si="81"/>
        <v>1.0000000046112085</v>
      </c>
      <c r="AO41" s="50">
        <f t="shared" si="82"/>
        <v>9.6033415791207434E-5</v>
      </c>
      <c r="AP41" s="50" t="str">
        <f t="shared" si="58"/>
        <v>1-0.000276112716367029i</v>
      </c>
      <c r="AQ41" s="50">
        <f t="shared" si="83"/>
        <v>1.0000000381191154</v>
      </c>
      <c r="AR41" s="50">
        <f t="shared" si="84"/>
        <v>-2.7611270935024756E-4</v>
      </c>
      <c r="AS41" s="59" t="str">
        <f t="shared" si="85"/>
        <v>106.86180226772-8.51575351121443i</v>
      </c>
      <c r="AT41" s="50">
        <f t="shared" si="86"/>
        <v>40.603942130699323</v>
      </c>
      <c r="AU41" s="61">
        <f t="shared" si="87"/>
        <v>-4.5562382479388965</v>
      </c>
      <c r="AV41" s="32" t="str">
        <f t="shared" si="59"/>
        <v>-0.0000333333333333333</v>
      </c>
      <c r="AW41" s="32" t="str">
        <f t="shared" si="60"/>
        <v>5.12178219127614E-06i</v>
      </c>
      <c r="AX41" s="32">
        <f t="shared" si="88"/>
        <v>5.1217821912761396E-6</v>
      </c>
      <c r="AY41" s="32">
        <f t="shared" si="89"/>
        <v>1.5707963267948966</v>
      </c>
      <c r="AZ41" s="32" t="str">
        <f t="shared" si="61"/>
        <v>1+0.00208961599817689i</v>
      </c>
      <c r="BA41" s="32">
        <f t="shared" si="90"/>
        <v>1.0000021832451267</v>
      </c>
      <c r="BB41" s="32">
        <f t="shared" si="91"/>
        <v>2.0896129567522419E-3</v>
      </c>
      <c r="BC41" s="32" t="str">
        <f t="shared" si="62"/>
        <v>1+0.100301567912491i</v>
      </c>
      <c r="BD41" s="32">
        <f t="shared" si="92"/>
        <v>1.0050176140375371</v>
      </c>
      <c r="BE41" s="32">
        <f t="shared" si="93"/>
        <v>9.9967225659004719E-2</v>
      </c>
      <c r="BF41" s="59" t="str">
        <f t="shared" si="94"/>
        <v>-0.639175449784323+6.50948691306096i</v>
      </c>
      <c r="BG41" s="50">
        <f t="shared" si="95"/>
        <v>16.312607293747323</v>
      </c>
      <c r="BH41" s="61">
        <f t="shared" si="96"/>
        <v>95.607974116655129</v>
      </c>
      <c r="BI41" s="59" t="str">
        <f t="shared" si="97"/>
        <v>-1.65935631427285+121.088555789403i</v>
      </c>
      <c r="BJ41" s="64">
        <f t="shared" si="98"/>
        <v>41.662877475059766</v>
      </c>
      <c r="BK41" s="61">
        <f t="shared" si="99"/>
        <v>90.785112699011933</v>
      </c>
      <c r="BL41" s="59" t="str">
        <f t="shared" si="100"/>
        <v>-12.8702544931301+701.058563948614i</v>
      </c>
      <c r="BM41" s="64">
        <f t="shared" si="101"/>
        <v>56.916549424446636</v>
      </c>
      <c r="BN41" s="61">
        <f t="shared" si="102"/>
        <v>91.051735868716236</v>
      </c>
      <c r="BO41" s="50">
        <f t="shared" si="103"/>
        <v>41.662877475059766</v>
      </c>
      <c r="BP41" s="61">
        <f t="shared" si="104"/>
        <v>90.785112699011933</v>
      </c>
    </row>
    <row r="42" spans="1:68" s="32" customFormat="1" x14ac:dyDescent="0.25">
      <c r="A42" t="s">
        <v>182</v>
      </c>
      <c r="B42" s="30">
        <f>((VOUT/IOUT)*((VIN_var/VOUT)^2))/(Lm)</f>
        <v>126942.14876033059</v>
      </c>
      <c r="C42" t="s">
        <v>180</v>
      </c>
      <c r="D42"/>
      <c r="E42" t="s">
        <v>172</v>
      </c>
      <c r="F42"/>
      <c r="G42"/>
      <c r="K42"/>
      <c r="L42"/>
      <c r="N42" s="11">
        <v>24</v>
      </c>
      <c r="O42" s="51">
        <f t="shared" si="63"/>
        <v>17.378008287493756</v>
      </c>
      <c r="P42" s="49" t="str">
        <f t="shared" si="52"/>
        <v>37.1583961085025</v>
      </c>
      <c r="Q42" s="18" t="str">
        <f t="shared" si="64"/>
        <v>1+0.0855836142108372i</v>
      </c>
      <c r="R42" s="18">
        <f t="shared" si="65"/>
        <v>1.003655595820294</v>
      </c>
      <c r="S42" s="18">
        <f t="shared" si="66"/>
        <v>8.5375573766819202E-2</v>
      </c>
      <c r="T42" s="18" t="str">
        <f t="shared" si="53"/>
        <v>1+0.0000982703217060235i</v>
      </c>
      <c r="U42" s="18">
        <f t="shared" si="67"/>
        <v>1.000000004828528</v>
      </c>
      <c r="V42" s="18">
        <f t="shared" si="68"/>
        <v>9.8270321389689485E-5</v>
      </c>
      <c r="W42" s="32" t="str">
        <f t="shared" si="54"/>
        <v>1-0.000860149661923379i</v>
      </c>
      <c r="X42" s="18">
        <f t="shared" si="69"/>
        <v>1.0000003699286519</v>
      </c>
      <c r="Y42" s="18">
        <f t="shared" si="70"/>
        <v>-8.6014944979409731E-4</v>
      </c>
      <c r="Z42" s="32" t="str">
        <f t="shared" si="71"/>
        <v>0.999999992450121+0.000207095603891582i</v>
      </c>
      <c r="AA42" s="18">
        <f t="shared" si="72"/>
        <v>1.0000000138944154</v>
      </c>
      <c r="AB42" s="18">
        <f t="shared" si="73"/>
        <v>2.0709560249444935E-4</v>
      </c>
      <c r="AC42" s="32" t="str">
        <f>IMDIV(IMSUM(COMPLEX(0,2*PI()*O42*Constants!$B$61*Constants!$B$62),COMPLEX(1,0)),IMSUM(COMPLEX(0,2*PI()*O42*Constants!$B$61*Constants!$B$62),COMPLEX(2,0)))</f>
        <v>0.500000023844582+0.000109189241132882i</v>
      </c>
      <c r="AD42" s="18">
        <f t="shared" si="74"/>
        <v>0.50000003576687169</v>
      </c>
      <c r="AE42" s="18">
        <f t="shared" si="75"/>
        <v>2.1837846838004894E-4</v>
      </c>
      <c r="AF42" s="66" t="str">
        <f t="shared" si="76"/>
        <v>18.4429211586421-1.59235733070273i</v>
      </c>
      <c r="AG42" s="64">
        <f t="shared" si="77"/>
        <v>25.348848835926635</v>
      </c>
      <c r="AH42" s="61">
        <f t="shared" si="78"/>
        <v>-4.9346660483071672</v>
      </c>
      <c r="AI42" s="50" t="str">
        <f t="shared" si="55"/>
        <v>107.538871525172</v>
      </c>
      <c r="AJ42" s="50" t="str">
        <f t="shared" si="56"/>
        <v>1+0.0813601689449222i</v>
      </c>
      <c r="AK42" s="50">
        <f t="shared" si="79"/>
        <v>1.0033042794141498</v>
      </c>
      <c r="AL42" s="50">
        <f t="shared" si="80"/>
        <v>8.1181357998971554E-2</v>
      </c>
      <c r="AM42" s="50" t="str">
        <f t="shared" si="57"/>
        <v>1+0.0000982703217060235i</v>
      </c>
      <c r="AN42" s="50">
        <f t="shared" si="81"/>
        <v>1.000000004828528</v>
      </c>
      <c r="AO42" s="50">
        <f t="shared" si="82"/>
        <v>9.8270321389689485E-5</v>
      </c>
      <c r="AP42" s="50" t="str">
        <f t="shared" si="58"/>
        <v>1-0.000282544207737985i</v>
      </c>
      <c r="AQ42" s="50">
        <f t="shared" si="83"/>
        <v>1.0000000399156139</v>
      </c>
      <c r="AR42" s="50">
        <f t="shared" si="84"/>
        <v>-2.8254420021936818E-4</v>
      </c>
      <c r="AS42" s="59" t="str">
        <f t="shared" si="85"/>
        <v>106.830102810517-8.71153181882247i</v>
      </c>
      <c r="AT42" s="50">
        <f t="shared" si="86"/>
        <v>40.602656592184857</v>
      </c>
      <c r="AU42" s="61">
        <f t="shared" si="87"/>
        <v>-4.661907304013102</v>
      </c>
      <c r="AV42" s="32" t="str">
        <f t="shared" si="59"/>
        <v>-0.0000333333333333333</v>
      </c>
      <c r="AW42" s="32" t="str">
        <f t="shared" si="60"/>
        <v>5.24108382432124E-06i</v>
      </c>
      <c r="AX42" s="32">
        <f t="shared" si="88"/>
        <v>5.2410838243212401E-6</v>
      </c>
      <c r="AY42" s="32">
        <f t="shared" si="89"/>
        <v>1.5707963267948966</v>
      </c>
      <c r="AZ42" s="32" t="str">
        <f t="shared" si="61"/>
        <v>1+0.00213828940749218i</v>
      </c>
      <c r="BA42" s="32">
        <f t="shared" si="90"/>
        <v>1.0000022861381819</v>
      </c>
      <c r="BB42" s="32">
        <f t="shared" si="91"/>
        <v>2.1382861485473564E-3</v>
      </c>
      <c r="BC42" s="32" t="str">
        <f t="shared" si="62"/>
        <v>1+0.102637891559625i</v>
      </c>
      <c r="BD42" s="32">
        <f t="shared" si="92"/>
        <v>1.0052534689240349</v>
      </c>
      <c r="BE42" s="32">
        <f t="shared" si="93"/>
        <v>0.10227973842049182</v>
      </c>
      <c r="BF42" s="59" t="str">
        <f t="shared" si="94"/>
        <v>-0.639175318251203+6.36137441401386i</v>
      </c>
      <c r="BG42" s="50">
        <f t="shared" si="95"/>
        <v>16.114644542590042</v>
      </c>
      <c r="BH42" s="61">
        <f t="shared" si="96"/>
        <v>95.737682569493188</v>
      </c>
      <c r="BI42" s="59" t="str">
        <f t="shared" si="97"/>
        <v>-1.65867881955716+118.340122281882i</v>
      </c>
      <c r="BJ42" s="64">
        <f t="shared" si="98"/>
        <v>41.463493378516667</v>
      </c>
      <c r="BK42" s="61">
        <f t="shared" si="99"/>
        <v>90.803016521186009</v>
      </c>
      <c r="BL42" s="59" t="str">
        <f t="shared" si="100"/>
        <v>-12.8658493435961+685.154478788044i</v>
      </c>
      <c r="BM42" s="64">
        <f t="shared" si="101"/>
        <v>56.7173011347749</v>
      </c>
      <c r="BN42" s="61">
        <f t="shared" si="102"/>
        <v>91.075775265480075</v>
      </c>
      <c r="BO42" s="50">
        <f t="shared" si="103"/>
        <v>41.463493378516667</v>
      </c>
      <c r="BP42" s="61">
        <f t="shared" si="104"/>
        <v>90.803016521186009</v>
      </c>
    </row>
    <row r="43" spans="1:68" s="32" customFormat="1" x14ac:dyDescent="0.25">
      <c r="B43" s="1">
        <f>wz_rhp/(2*PI())</f>
        <v>20203.470461913326</v>
      </c>
      <c r="C43" s="32" t="s">
        <v>48</v>
      </c>
      <c r="K43"/>
      <c r="L43"/>
      <c r="N43" s="11">
        <v>25</v>
      </c>
      <c r="O43" s="51">
        <f t="shared" si="63"/>
        <v>17.782794100389236</v>
      </c>
      <c r="P43" s="49" t="str">
        <f t="shared" si="52"/>
        <v>37.1583961085025</v>
      </c>
      <c r="Q43" s="18" t="str">
        <f t="shared" si="64"/>
        <v>1+0.0875771126760088i</v>
      </c>
      <c r="R43" s="18">
        <f t="shared" si="65"/>
        <v>1.0038275502618297</v>
      </c>
      <c r="S43" s="18">
        <f t="shared" si="66"/>
        <v>8.7354239204826947E-2</v>
      </c>
      <c r="T43" s="18" t="str">
        <f t="shared" si="53"/>
        <v>1+0.000100559331550949i</v>
      </c>
      <c r="U43" s="18">
        <f t="shared" si="67"/>
        <v>1.0000000050560895</v>
      </c>
      <c r="V43" s="18">
        <f t="shared" si="68"/>
        <v>1.0055933121199102E-4</v>
      </c>
      <c r="W43" s="32" t="str">
        <f t="shared" si="54"/>
        <v>1-0.000880185121358849i</v>
      </c>
      <c r="X43" s="18">
        <f t="shared" si="69"/>
        <v>1.0000003873628489</v>
      </c>
      <c r="Y43" s="18">
        <f t="shared" si="70"/>
        <v>-8.8018489405823316E-4</v>
      </c>
      <c r="Z43" s="32" t="str">
        <f t="shared" si="71"/>
        <v>0.999999992094306+0.000211919480194406i</v>
      </c>
      <c r="AA43" s="18">
        <f t="shared" si="72"/>
        <v>1.0000000145492389</v>
      </c>
      <c r="AB43" s="18">
        <f t="shared" si="73"/>
        <v>2.119194786973514E-4</v>
      </c>
      <c r="AC43" s="32" t="str">
        <f>IMDIV(IMSUM(COMPLEX(0,2*PI()*O43*Constants!$B$61*Constants!$B$62),COMPLEX(1,0)),IMSUM(COMPLEX(0,2*PI()*O43*Constants!$B$61*Constants!$B$62),COMPLEX(2,0)))</f>
        <v>0.500000024968342+0.00011173258503261i</v>
      </c>
      <c r="AD43" s="18">
        <f t="shared" si="74"/>
        <v>0.50000003745251176</v>
      </c>
      <c r="AE43" s="18">
        <f t="shared" si="75"/>
        <v>2.2346515518640859E-4</v>
      </c>
      <c r="AF43" s="66" t="str">
        <f t="shared" si="76"/>
        <v>18.4365475107045-1.62888991208979i</v>
      </c>
      <c r="AG43" s="64">
        <f t="shared" si="77"/>
        <v>25.347361003121271</v>
      </c>
      <c r="AH43" s="61">
        <f t="shared" si="78"/>
        <v>-5.0490369648299742</v>
      </c>
      <c r="AI43" s="50" t="str">
        <f t="shared" si="55"/>
        <v>107.538871525172</v>
      </c>
      <c r="AJ43" s="50" t="str">
        <f t="shared" si="56"/>
        <v>1+0.0832552907321167i</v>
      </c>
      <c r="AK43" s="50">
        <f t="shared" si="79"/>
        <v>1.0034597368279852</v>
      </c>
      <c r="AL43" s="50">
        <f t="shared" si="80"/>
        <v>8.3063727011635169E-2</v>
      </c>
      <c r="AM43" s="50" t="str">
        <f t="shared" si="57"/>
        <v>1+0.000100559331550949i</v>
      </c>
      <c r="AN43" s="50">
        <f t="shared" si="81"/>
        <v>1.0000000050560895</v>
      </c>
      <c r="AO43" s="50">
        <f t="shared" si="82"/>
        <v>1.0055933121199102E-4</v>
      </c>
      <c r="AP43" s="50" t="str">
        <f t="shared" si="58"/>
        <v>1-0.000289125507787796i</v>
      </c>
      <c r="AQ43" s="50">
        <f t="shared" si="83"/>
        <v>1.0000000417967787</v>
      </c>
      <c r="AR43" s="50">
        <f t="shared" si="84"/>
        <v>-2.8912549973145299E-4</v>
      </c>
      <c r="AS43" s="59" t="str">
        <f t="shared" si="85"/>
        <v>106.796929508954-8.91168760936571i</v>
      </c>
      <c r="AT43" s="50">
        <f t="shared" si="86"/>
        <v>40.601310875843808</v>
      </c>
      <c r="AU43" s="61">
        <f t="shared" si="87"/>
        <v>-4.7700050340086513</v>
      </c>
      <c r="AV43" s="32" t="str">
        <f t="shared" si="59"/>
        <v>-0.0000333333333333333</v>
      </c>
      <c r="AW43" s="32" t="str">
        <f t="shared" si="60"/>
        <v>5.36316434938394E-06i</v>
      </c>
      <c r="AX43" s="32">
        <f t="shared" si="88"/>
        <v>5.3631643493839396E-6</v>
      </c>
      <c r="AY43" s="32">
        <f t="shared" si="89"/>
        <v>1.5707963267948966</v>
      </c>
      <c r="AZ43" s="32" t="str">
        <f t="shared" si="61"/>
        <v>1+0.0021880965661549i</v>
      </c>
      <c r="BA43" s="32">
        <f t="shared" si="90"/>
        <v>1.0000023938804261</v>
      </c>
      <c r="BB43" s="32">
        <f t="shared" si="91"/>
        <v>2.1880930741330581E-3</v>
      </c>
      <c r="BC43" s="32" t="str">
        <f t="shared" si="62"/>
        <v>1+0.105028635175435i</v>
      </c>
      <c r="BD43" s="32">
        <f t="shared" si="92"/>
        <v>1.0055003800132623</v>
      </c>
      <c r="BE43" s="32">
        <f t="shared" si="93"/>
        <v>0.10464498046357658</v>
      </c>
      <c r="BF43" s="59" t="str">
        <f t="shared" si="94"/>
        <v>-0.639175180519166+6.21663479985733i</v>
      </c>
      <c r="BG43" s="50">
        <f t="shared" si="95"/>
        <v>15.916776779329428</v>
      </c>
      <c r="BH43" s="61">
        <f t="shared" si="96"/>
        <v>95.870347229462226</v>
      </c>
      <c r="BI43" s="59" t="str">
        <f t="shared" si="97"/>
        <v>-1.6579698706708+115.654428847874i</v>
      </c>
      <c r="BJ43" s="64">
        <f t="shared" si="98"/>
        <v>41.264137782450668</v>
      </c>
      <c r="BK43" s="61">
        <f t="shared" si="99"/>
        <v>90.82131026463226</v>
      </c>
      <c r="BL43" s="59" t="str">
        <f t="shared" si="100"/>
        <v>-12.8612393799381+669.61363803972i</v>
      </c>
      <c r="BM43" s="64">
        <f t="shared" si="101"/>
        <v>56.518087655173233</v>
      </c>
      <c r="BN43" s="61">
        <f t="shared" si="102"/>
        <v>91.100342195453578</v>
      </c>
      <c r="BO43" s="50">
        <f t="shared" si="103"/>
        <v>41.264137782450668</v>
      </c>
      <c r="BP43" s="61">
        <f t="shared" si="104"/>
        <v>90.82131026463226</v>
      </c>
    </row>
    <row r="44" spans="1:68" s="32" customFormat="1" x14ac:dyDescent="0.25">
      <c r="B44" s="1"/>
      <c r="K44"/>
      <c r="L44"/>
      <c r="N44" s="11">
        <v>26</v>
      </c>
      <c r="O44" s="51">
        <f t="shared" si="63"/>
        <v>18.197008586099841</v>
      </c>
      <c r="P44" s="49" t="str">
        <f t="shared" si="52"/>
        <v>37.1583961085025</v>
      </c>
      <c r="Q44" s="18" t="str">
        <f t="shared" si="64"/>
        <v>1+0.0896170456855419i</v>
      </c>
      <c r="R44" s="18">
        <f t="shared" si="65"/>
        <v>1.0040075771015897</v>
      </c>
      <c r="S44" s="18">
        <f t="shared" si="66"/>
        <v>8.9378283911910869E-2</v>
      </c>
      <c r="T44" s="18" t="str">
        <f t="shared" si="53"/>
        <v>1+0.000102901659284523i</v>
      </c>
      <c r="U44" s="18">
        <f t="shared" si="67"/>
        <v>1.0000000052943756</v>
      </c>
      <c r="V44" s="18">
        <f t="shared" si="68"/>
        <v>1.0290165892132296E-4</v>
      </c>
      <c r="W44" s="32" t="str">
        <f t="shared" si="54"/>
        <v>1-0.000900687266596297i</v>
      </c>
      <c r="X44" s="18">
        <f t="shared" si="69"/>
        <v>1.000000405618694</v>
      </c>
      <c r="Y44" s="18">
        <f t="shared" si="70"/>
        <v>-9.0068702303930436E-4</v>
      </c>
      <c r="Z44" s="32" t="str">
        <f t="shared" si="71"/>
        <v>0.999999991721722+0.000216855719010716i</v>
      </c>
      <c r="AA44" s="18">
        <f t="shared" si="72"/>
        <v>1.0000000152349235</v>
      </c>
      <c r="AB44" s="18">
        <f t="shared" si="73"/>
        <v>2.1685571740659313E-4</v>
      </c>
      <c r="AC44" s="32" t="str">
        <f>IMDIV(IMSUM(COMPLEX(0,2*PI()*O44*Constants!$B$61*Constants!$B$62),COMPLEX(1,0)),IMSUM(COMPLEX(0,2*PI()*O44*Constants!$B$61*Constants!$B$62),COMPLEX(2,0)))</f>
        <v>0.500000026145064+0.000114335171004202i</v>
      </c>
      <c r="AD44" s="18">
        <f t="shared" si="74"/>
        <v>0.50000003921759439</v>
      </c>
      <c r="AE44" s="18">
        <f t="shared" si="75"/>
        <v>2.2867032606547032E-4</v>
      </c>
      <c r="AF44" s="66" t="str">
        <f t="shared" si="76"/>
        <v>18.4298781606859-1.66623394485555i</v>
      </c>
      <c r="AG44" s="64">
        <f t="shared" si="77"/>
        <v>25.345803597162899</v>
      </c>
      <c r="AH44" s="61">
        <f t="shared" si="78"/>
        <v>-5.1660312553830332</v>
      </c>
      <c r="AI44" s="50" t="str">
        <f t="shared" si="55"/>
        <v>107.538871525172</v>
      </c>
      <c r="AJ44" s="50" t="str">
        <f t="shared" si="56"/>
        <v>1+0.085194555576472i</v>
      </c>
      <c r="AK44" s="50">
        <f t="shared" si="79"/>
        <v>1.0036224949152308</v>
      </c>
      <c r="AL44" s="50">
        <f t="shared" si="80"/>
        <v>8.4989331344940716E-2</v>
      </c>
      <c r="AM44" s="50" t="str">
        <f t="shared" si="57"/>
        <v>1+0.000102901659284523i</v>
      </c>
      <c r="AN44" s="50">
        <f t="shared" si="81"/>
        <v>1.0000000052943756</v>
      </c>
      <c r="AO44" s="50">
        <f t="shared" si="82"/>
        <v>1.0290165892132296E-4</v>
      </c>
      <c r="AP44" s="50" t="str">
        <f t="shared" si="58"/>
        <v>1-0.000295860106008867i</v>
      </c>
      <c r="AQ44" s="50">
        <f t="shared" si="83"/>
        <v>1.0000000437666001</v>
      </c>
      <c r="AR44" s="50">
        <f t="shared" si="84"/>
        <v>-2.9586009737633996E-4</v>
      </c>
      <c r="AS44" s="59" t="str">
        <f t="shared" si="85"/>
        <v>106.762214822088-9.11630997773962i</v>
      </c>
      <c r="AT44" s="50">
        <f t="shared" si="86"/>
        <v>40.599902184643291</v>
      </c>
      <c r="AU44" s="61">
        <f t="shared" si="87"/>
        <v>-4.8805856938489347</v>
      </c>
      <c r="AV44" s="32" t="str">
        <f t="shared" si="59"/>
        <v>-0.0000333333333333333</v>
      </c>
      <c r="AW44" s="32" t="str">
        <f t="shared" si="60"/>
        <v>5.48808849517456E-06i</v>
      </c>
      <c r="AX44" s="32">
        <f t="shared" si="88"/>
        <v>5.4880884951745603E-6</v>
      </c>
      <c r="AY44" s="32">
        <f t="shared" si="89"/>
        <v>1.5707963267948966</v>
      </c>
      <c r="AZ44" s="32" t="str">
        <f t="shared" si="61"/>
        <v>1+0.00223906388257989i</v>
      </c>
      <c r="BA44" s="32">
        <f t="shared" si="90"/>
        <v>1.0000025067003935</v>
      </c>
      <c r="BB44" s="32">
        <f t="shared" si="91"/>
        <v>2.2390601408115792E-3</v>
      </c>
      <c r="BC44" s="32" t="str">
        <f t="shared" si="62"/>
        <v>1+0.107475066363835i</v>
      </c>
      <c r="BD44" s="32">
        <f t="shared" si="92"/>
        <v>1.0057588626951843</v>
      </c>
      <c r="BE44" s="32">
        <f t="shared" si="93"/>
        <v>0.10706409995673893</v>
      </c>
      <c r="BF44" s="59" t="str">
        <f t="shared" si="94"/>
        <v>-0.639175036296093+6.07519132773013i</v>
      </c>
      <c r="BG44" s="50">
        <f t="shared" si="95"/>
        <v>15.719008382851392</v>
      </c>
      <c r="BH44" s="61">
        <f t="shared" si="96"/>
        <v>96.006032368743433</v>
      </c>
      <c r="BI44" s="59" t="str">
        <f t="shared" si="97"/>
        <v>-1.65722803053298+113.030051115103i</v>
      </c>
      <c r="BJ44" s="64">
        <f t="shared" si="98"/>
        <v>41.064811980014312</v>
      </c>
      <c r="BK44" s="61">
        <f t="shared" si="99"/>
        <v>90.840001113360401</v>
      </c>
      <c r="BL44" s="59" t="str">
        <f t="shared" si="100"/>
        <v>-12.856415216296+654.427799377318i</v>
      </c>
      <c r="BM44" s="64">
        <f t="shared" si="101"/>
        <v>56.318910567494683</v>
      </c>
      <c r="BN44" s="61">
        <f t="shared" si="102"/>
        <v>91.125446674894505</v>
      </c>
      <c r="BO44" s="50">
        <f t="shared" si="103"/>
        <v>41.064811980014312</v>
      </c>
      <c r="BP44" s="61">
        <f t="shared" si="104"/>
        <v>90.840001113360401</v>
      </c>
    </row>
    <row r="45" spans="1:68" x14ac:dyDescent="0.25">
      <c r="A45" t="s">
        <v>183</v>
      </c>
      <c r="B45" s="30">
        <f>1/(Cout*Resr)</f>
        <v>1111111.1111111112</v>
      </c>
      <c r="C45" t="s">
        <v>180</v>
      </c>
      <c r="E45" t="s">
        <v>173</v>
      </c>
      <c r="N45" s="11">
        <v>27</v>
      </c>
      <c r="O45" s="51">
        <f t="shared" si="63"/>
        <v>18.62087136662868</v>
      </c>
      <c r="P45" s="49" t="str">
        <f t="shared" si="52"/>
        <v>37.1583961085025</v>
      </c>
      <c r="Q45" s="18" t="str">
        <f t="shared" si="64"/>
        <v>1+0.0917044948389192i</v>
      </c>
      <c r="R45" s="18">
        <f t="shared" si="65"/>
        <v>1.0041960537532806</v>
      </c>
      <c r="S45" s="18">
        <f t="shared" si="66"/>
        <v>9.1448714690460994E-2</v>
      </c>
      <c r="T45" s="18" t="str">
        <f t="shared" si="53"/>
        <v>1+0.000105298546839914i</v>
      </c>
      <c r="U45" s="18">
        <f t="shared" si="67"/>
        <v>1.000000005543892</v>
      </c>
      <c r="V45" s="18">
        <f t="shared" si="68"/>
        <v>1.0529854645073815E-4</v>
      </c>
      <c r="W45" s="32" t="str">
        <f t="shared" si="54"/>
        <v>1-0.000921666968144497i</v>
      </c>
      <c r="X45" s="18">
        <f t="shared" si="69"/>
        <v>1.0000004247349099</v>
      </c>
      <c r="Y45" s="18">
        <f t="shared" si="70"/>
        <v>-9.2166670716848352E-4</v>
      </c>
      <c r="Z45" s="32" t="str">
        <f t="shared" si="71"/>
        <v>0.999999991331579+0.00022190693759967i</v>
      </c>
      <c r="AA45" s="18">
        <f t="shared" si="72"/>
        <v>1.0000000159529234</v>
      </c>
      <c r="AB45" s="18">
        <f t="shared" si="73"/>
        <v>2.2190693588082134E-4</v>
      </c>
      <c r="AC45" s="32" t="str">
        <f>IMDIV(IMSUM(COMPLEX(0,2*PI()*O45*Constants!$B$61*Constants!$B$62),COMPLEX(1,0)),IMSUM(COMPLEX(0,2*PI()*O45*Constants!$B$61*Constants!$B$62),COMPLEX(2,0)))</f>
        <v>0.500000027377243+0.000116998378971496i</v>
      </c>
      <c r="AD45" s="18">
        <f t="shared" si="74"/>
        <v>0.50000004106586282</v>
      </c>
      <c r="AE45" s="18">
        <f t="shared" si="75"/>
        <v>2.3399674085983083E-4</v>
      </c>
      <c r="AF45" s="66" t="str">
        <f t="shared" si="76"/>
        <v>18.4228996184479-1.70440555564739i</v>
      </c>
      <c r="AG45" s="64">
        <f t="shared" si="77"/>
        <v>25.344173391441021</v>
      </c>
      <c r="AH45" s="61">
        <f t="shared" si="78"/>
        <v>-5.2857071489969716</v>
      </c>
      <c r="AI45" s="50" t="str">
        <f t="shared" si="55"/>
        <v>107.538871525172</v>
      </c>
      <c r="AJ45" s="50" t="str">
        <f t="shared" si="56"/>
        <v>1+0.087178991701877i</v>
      </c>
      <c r="AK45" s="50">
        <f t="shared" si="79"/>
        <v>1.0037928952698141</v>
      </c>
      <c r="AL45" s="50">
        <f t="shared" si="80"/>
        <v>8.6959134827649193E-2</v>
      </c>
      <c r="AM45" s="50" t="str">
        <f t="shared" si="57"/>
        <v>1+0.000105298546839914i</v>
      </c>
      <c r="AN45" s="50">
        <f t="shared" si="81"/>
        <v>1.000000005543892</v>
      </c>
      <c r="AO45" s="50">
        <f t="shared" si="82"/>
        <v>1.0529854645073815E-4</v>
      </c>
      <c r="AP45" s="50" t="str">
        <f t="shared" si="58"/>
        <v>1-0.000302751573174314i</v>
      </c>
      <c r="AQ45" s="50">
        <f t="shared" si="83"/>
        <v>1.0000000458292564</v>
      </c>
      <c r="AR45" s="50">
        <f t="shared" si="84"/>
        <v>-3.0275156392439462E-4</v>
      </c>
      <c r="AS45" s="59" t="str">
        <f t="shared" si="85"/>
        <v>106.725888208019-9.32548919809361i</v>
      </c>
      <c r="AT45" s="50">
        <f t="shared" si="86"/>
        <v>40.598427593457735</v>
      </c>
      <c r="AU45" s="61">
        <f t="shared" si="87"/>
        <v>-4.9937046402867695</v>
      </c>
      <c r="AV45" s="32" t="str">
        <f t="shared" si="59"/>
        <v>-0.0000333333333333333</v>
      </c>
      <c r="AW45" s="32" t="str">
        <f t="shared" si="60"/>
        <v>5.61592249812875E-06i</v>
      </c>
      <c r="AX45" s="32">
        <f t="shared" si="88"/>
        <v>5.6159224981287498E-6</v>
      </c>
      <c r="AY45" s="32">
        <f t="shared" si="89"/>
        <v>1.5707963267948966</v>
      </c>
      <c r="AZ45" s="32" t="str">
        <f t="shared" si="61"/>
        <v>1+0.00229121838031294i</v>
      </c>
      <c r="BA45" s="32">
        <f t="shared" si="90"/>
        <v>1.0000026248373883</v>
      </c>
      <c r="BB45" s="32">
        <f t="shared" si="91"/>
        <v>2.2912143709365269E-3</v>
      </c>
      <c r="BC45" s="32" t="str">
        <f t="shared" si="62"/>
        <v>1+0.109978482255021i</v>
      </c>
      <c r="BD45" s="32">
        <f t="shared" si="92"/>
        <v>1.0060294561090735</v>
      </c>
      <c r="BE45" s="32">
        <f t="shared" si="93"/>
        <v>0.10953826623121296</v>
      </c>
      <c r="BF45" s="59" t="str">
        <f t="shared" si="94"/>
        <v>-0.639174885276063+5.93696900242913i</v>
      </c>
      <c r="BG45" s="50">
        <f t="shared" si="95"/>
        <v>15.521343929142875</v>
      </c>
      <c r="BH45" s="61">
        <f t="shared" si="96"/>
        <v>96.144803436814499</v>
      </c>
      <c r="BI45" s="59" t="str">
        <f t="shared" si="97"/>
        <v>-1.65645179862731+110.465597195083i</v>
      </c>
      <c r="BJ45" s="64">
        <f t="shared" si="98"/>
        <v>40.865517320583862</v>
      </c>
      <c r="BK45" s="61">
        <f t="shared" si="99"/>
        <v>90.859096287817536</v>
      </c>
      <c r="BL45" s="59" t="str">
        <f t="shared" si="100"/>
        <v>-12.851367049777+639.58890853606i</v>
      </c>
      <c r="BM45" s="64">
        <f t="shared" si="101"/>
        <v>56.119771522600608</v>
      </c>
      <c r="BN45" s="61">
        <f t="shared" si="102"/>
        <v>91.151098796527734</v>
      </c>
      <c r="BO45" s="50">
        <f t="shared" si="103"/>
        <v>40.865517320583862</v>
      </c>
      <c r="BP45" s="61">
        <f t="shared" si="104"/>
        <v>90.859096287817536</v>
      </c>
    </row>
    <row r="46" spans="1:68" x14ac:dyDescent="0.25">
      <c r="A46" s="32"/>
      <c r="B46" s="30">
        <f>wz_esr/(2*PI())</f>
        <v>176838.82565766151</v>
      </c>
      <c r="C46" s="32" t="s">
        <v>48</v>
      </c>
      <c r="D46" s="32"/>
      <c r="E46" s="32"/>
      <c r="F46" s="32"/>
      <c r="G46" s="32"/>
      <c r="L46" s="32"/>
      <c r="N46" s="11">
        <v>28</v>
      </c>
      <c r="O46" s="51">
        <f t="shared" si="63"/>
        <v>19.054607179632477</v>
      </c>
      <c r="P46" s="49" t="str">
        <f t="shared" si="52"/>
        <v>37.1583961085025</v>
      </c>
      <c r="Q46" s="18" t="str">
        <f t="shared" si="64"/>
        <v>1+0.0938405669293126i</v>
      </c>
      <c r="R46" s="18">
        <f t="shared" si="65"/>
        <v>1.0043933751282985</v>
      </c>
      <c r="S46" s="18">
        <f t="shared" si="66"/>
        <v>9.3566558268760397E-2</v>
      </c>
      <c r="T46" s="18" t="str">
        <f t="shared" si="53"/>
        <v>1+0.000107751265078631i</v>
      </c>
      <c r="U46" s="18">
        <f t="shared" si="67"/>
        <v>1.0000000058051675</v>
      </c>
      <c r="V46" s="18">
        <f t="shared" si="68"/>
        <v>1.0775126466162156E-4</v>
      </c>
      <c r="W46" s="32" t="str">
        <f t="shared" si="54"/>
        <v>1-0.000943135349718913i</v>
      </c>
      <c r="X46" s="18">
        <f t="shared" si="69"/>
        <v>1.000000444752045</v>
      </c>
      <c r="Y46" s="18">
        <f t="shared" si="70"/>
        <v>-9.431350700780831E-4</v>
      </c>
      <c r="Z46" s="32" t="str">
        <f t="shared" si="71"/>
        <v>0.999999990923049+0.000227075814184225i</v>
      </c>
      <c r="AA46" s="18">
        <f t="shared" si="72"/>
        <v>1.0000000167047618</v>
      </c>
      <c r="AB46" s="18">
        <f t="shared" si="73"/>
        <v>2.2707581234244546E-4</v>
      </c>
      <c r="AC46" s="32" t="str">
        <f>IMDIV(IMSUM(COMPLEX(0,2*PI()*O46*Constants!$B$61*Constants!$B$62),COMPLEX(1,0)),IMSUM(COMPLEX(0,2*PI()*O46*Constants!$B$61*Constants!$B$62),COMPLEX(2,0)))</f>
        <v>0.500000028667492+0.000119723621000793i</v>
      </c>
      <c r="AD46" s="18">
        <f t="shared" si="74"/>
        <v>0.50000004300123646</v>
      </c>
      <c r="AE46" s="18">
        <f t="shared" si="75"/>
        <v>2.3944722369664953E-4</v>
      </c>
      <c r="AF46" s="66" t="str">
        <f t="shared" si="76"/>
        <v>18.4155978002894-1.74342105441459i</v>
      </c>
      <c r="AG46" s="64">
        <f t="shared" si="77"/>
        <v>25.342467012259405</v>
      </c>
      <c r="AH46" s="61">
        <f t="shared" si="78"/>
        <v>-5.4081240290316046</v>
      </c>
      <c r="AI46" s="50" t="str">
        <f t="shared" si="55"/>
        <v>107.538871525172</v>
      </c>
      <c r="AJ46" s="50" t="str">
        <f t="shared" si="56"/>
        <v>1+0.0892096512826327i</v>
      </c>
      <c r="AK46" s="50">
        <f t="shared" si="79"/>
        <v>1.0039712953476154</v>
      </c>
      <c r="AL46" s="50">
        <f t="shared" si="80"/>
        <v>8.8974120697018405E-2</v>
      </c>
      <c r="AM46" s="50" t="str">
        <f t="shared" si="57"/>
        <v>1+0.000107751265078631i</v>
      </c>
      <c r="AN46" s="50">
        <f t="shared" si="81"/>
        <v>1.0000000058051675</v>
      </c>
      <c r="AO46" s="50">
        <f t="shared" si="82"/>
        <v>1.0775126466162156E-4</v>
      </c>
      <c r="AP46" s="50" t="str">
        <f t="shared" si="58"/>
        <v>1-0.00030980356323125i</v>
      </c>
      <c r="AQ46" s="50">
        <f t="shared" si="83"/>
        <v>1.0000000479891227</v>
      </c>
      <c r="AR46" s="50">
        <f t="shared" si="84"/>
        <v>-3.0980355331978283E-4</v>
      </c>
      <c r="AS46" s="59" t="str">
        <f t="shared" si="85"/>
        <v>106.687875999603-9.53931669014173i</v>
      </c>
      <c r="AT46" s="50">
        <f t="shared" si="86"/>
        <v>40.596884043386396</v>
      </c>
      <c r="AU46" s="61">
        <f t="shared" si="87"/>
        <v>-5.109418345207807</v>
      </c>
      <c r="AV46" s="32" t="str">
        <f t="shared" si="59"/>
        <v>-0.0000333333333333333</v>
      </c>
      <c r="AW46" s="32" t="str">
        <f t="shared" si="60"/>
        <v>5.74673413752698E-06i</v>
      </c>
      <c r="AX46" s="32">
        <f t="shared" si="88"/>
        <v>5.7467341375269799E-6</v>
      </c>
      <c r="AY46" s="32">
        <f t="shared" si="89"/>
        <v>1.5707963267948966</v>
      </c>
      <c r="AZ46" s="32" t="str">
        <f t="shared" si="61"/>
        <v>1+0.00234458771235909i</v>
      </c>
      <c r="BA46" s="32">
        <f t="shared" si="90"/>
        <v>1.0000027485419931</v>
      </c>
      <c r="BB46" s="32">
        <f t="shared" si="91"/>
        <v>2.3445834162354995E-3</v>
      </c>
      <c r="BC46" s="32" t="str">
        <f t="shared" si="62"/>
        <v>1+0.112540210193237i</v>
      </c>
      <c r="BD46" s="32">
        <f t="shared" si="92"/>
        <v>1.0063127242116825</v>
      </c>
      <c r="BE46" s="32">
        <f t="shared" si="93"/>
        <v>0.11206866989196491</v>
      </c>
      <c r="BF46" s="59" t="str">
        <f t="shared" si="94"/>
        <v>-0.639174727138756+5.80189453664566i</v>
      </c>
      <c r="BG46" s="50">
        <f t="shared" si="95"/>
        <v>15.323788199709947</v>
      </c>
      <c r="BH46" s="61">
        <f t="shared" si="96"/>
        <v>96.286727065987762</v>
      </c>
      <c r="BI46" s="59" t="str">
        <f t="shared" si="97"/>
        <v>-1.65563960841603+107.959706943306i</v>
      </c>
      <c r="BJ46" s="64">
        <f t="shared" si="98"/>
        <v>40.666255211969322</v>
      </c>
      <c r="BK46" s="61">
        <f t="shared" si="99"/>
        <v>90.87860303695615</v>
      </c>
      <c r="BL46" s="59" t="str">
        <f t="shared" si="100"/>
        <v>-12.8460846431936+625.089095030938i</v>
      </c>
      <c r="BM46" s="64">
        <f t="shared" si="101"/>
        <v>55.920672243096341</v>
      </c>
      <c r="BN46" s="61">
        <f t="shared" si="102"/>
        <v>91.177308720779948</v>
      </c>
      <c r="BO46" s="50">
        <f t="shared" si="103"/>
        <v>40.666255211969322</v>
      </c>
      <c r="BP46" s="61">
        <f t="shared" si="104"/>
        <v>90.87860303695615</v>
      </c>
    </row>
    <row r="47" spans="1:68" x14ac:dyDescent="0.25">
      <c r="B47" s="1"/>
      <c r="K47" s="32"/>
      <c r="L47" s="32"/>
      <c r="N47" s="11">
        <v>29</v>
      </c>
      <c r="O47" s="51">
        <f t="shared" si="63"/>
        <v>19.498445997580465</v>
      </c>
      <c r="P47" s="49" t="str">
        <f t="shared" si="52"/>
        <v>37.1583961085025</v>
      </c>
      <c r="Q47" s="18" t="str">
        <f t="shared" si="64"/>
        <v>1+0.0960263945304188i</v>
      </c>
      <c r="R47" s="18">
        <f t="shared" si="65"/>
        <v>1.0045999544328637</v>
      </c>
      <c r="S47" s="18">
        <f t="shared" si="66"/>
        <v>9.5732861520898355E-2</v>
      </c>
      <c r="T47" s="18" t="str">
        <f t="shared" si="53"/>
        <v>1+0.000110261114464349i</v>
      </c>
      <c r="U47" s="18">
        <f t="shared" si="67"/>
        <v>1.0000000060787566</v>
      </c>
      <c r="V47" s="18">
        <f t="shared" si="68"/>
        <v>1.1026111401751535E-4</v>
      </c>
      <c r="W47" s="32" t="str">
        <f t="shared" si="54"/>
        <v>1-0.000965103794139624i</v>
      </c>
      <c r="X47" s="18">
        <f t="shared" si="69"/>
        <v>1.0000004657125583</v>
      </c>
      <c r="Y47" s="18">
        <f t="shared" si="70"/>
        <v>-9.6510349449908364E-4</v>
      </c>
      <c r="Z47" s="32" t="str">
        <f t="shared" si="71"/>
        <v>0.999999990495265+0.000232365089371164i</v>
      </c>
      <c r="AA47" s="18">
        <f t="shared" si="72"/>
        <v>1.0000000174920323</v>
      </c>
      <c r="AB47" s="18">
        <f t="shared" si="73"/>
        <v>2.3236508739766181E-4</v>
      </c>
      <c r="AC47" s="32" t="str">
        <f>IMDIV(IMSUM(COMPLEX(0,2*PI()*O47*Constants!$B$61*Constants!$B$62),COMPLEX(1,0)),IMSUM(COMPLEX(0,2*PI()*O47*Constants!$B$61*Constants!$B$62),COMPLEX(2,0)))</f>
        <v>0.50000003001855+0.000122512342049546i</v>
      </c>
      <c r="AD47" s="18">
        <f t="shared" si="74"/>
        <v>0.5000000450278228</v>
      </c>
      <c r="AE47" s="18">
        <f t="shared" si="75"/>
        <v>2.4502466448499902E-4</v>
      </c>
      <c r="AF47" s="66" t="str">
        <f t="shared" si="76"/>
        <v>18.407958004928-1.78329692565064i</v>
      </c>
      <c r="AG47" s="64">
        <f t="shared" si="77"/>
        <v>25.34068093237579</v>
      </c>
      <c r="AH47" s="61">
        <f t="shared" si="78"/>
        <v>-5.5333424460708329</v>
      </c>
      <c r="AI47" s="50" t="str">
        <f t="shared" si="55"/>
        <v>107.538871525172</v>
      </c>
      <c r="AJ47" s="50" t="str">
        <f t="shared" si="56"/>
        <v>1+0.091287611001328i</v>
      </c>
      <c r="AK47" s="50">
        <f t="shared" si="79"/>
        <v>1.0041580691914644</v>
      </c>
      <c r="AL47" s="50">
        <f t="shared" si="80"/>
        <v>9.1035291839506996E-2</v>
      </c>
      <c r="AM47" s="50" t="str">
        <f t="shared" si="57"/>
        <v>1+0.000110261114464349i</v>
      </c>
      <c r="AN47" s="50">
        <f t="shared" si="81"/>
        <v>1.0000000060787566</v>
      </c>
      <c r="AO47" s="50">
        <f t="shared" si="82"/>
        <v>1.1026111401751535E-4</v>
      </c>
      <c r="AP47" s="50" t="str">
        <f t="shared" si="58"/>
        <v>1-0.000317019815238146i</v>
      </c>
      <c r="AQ47" s="50">
        <f t="shared" si="83"/>
        <v>1.0000000502507804</v>
      </c>
      <c r="AR47" s="50">
        <f t="shared" si="84"/>
        <v>-3.1701980461781767E-4</v>
      </c>
      <c r="AS47" s="59" t="str">
        <f t="shared" si="85"/>
        <v>106.648101275879-9.75788498066187i</v>
      </c>
      <c r="AT47" s="50">
        <f t="shared" si="86"/>
        <v>40.59526833583503</v>
      </c>
      <c r="AU47" s="61">
        <f t="shared" si="87"/>
        <v>-5.2277844094945287</v>
      </c>
      <c r="AV47" s="32" t="str">
        <f t="shared" si="59"/>
        <v>-0.0000333333333333333</v>
      </c>
      <c r="AW47" s="32" t="str">
        <f t="shared" si="60"/>
        <v>5.88059277143195E-06i</v>
      </c>
      <c r="AX47" s="32">
        <f t="shared" si="88"/>
        <v>5.8805927714319497E-6</v>
      </c>
      <c r="AY47" s="32">
        <f t="shared" si="89"/>
        <v>1.5707963267948966</v>
      </c>
      <c r="AZ47" s="32" t="str">
        <f t="shared" si="61"/>
        <v>1+0.00239920017584463i</v>
      </c>
      <c r="BA47" s="32">
        <f t="shared" si="90"/>
        <v>1.0000028780766002</v>
      </c>
      <c r="BB47" s="32">
        <f t="shared" si="91"/>
        <v>2.3991955724659807E-3</v>
      </c>
      <c r="BC47" s="32" t="str">
        <f t="shared" si="62"/>
        <v>1+0.115161608440542i</v>
      </c>
      <c r="BD47" s="32">
        <f t="shared" si="92"/>
        <v>1.0066092568909808</v>
      </c>
      <c r="BE47" s="32">
        <f t="shared" si="93"/>
        <v>0.11465652290595893</v>
      </c>
      <c r="BF47" s="59" t="str">
        <f t="shared" si="94"/>
        <v>-0.639174561548746+5.66989631210769i</v>
      </c>
      <c r="BG47" s="50">
        <f t="shared" si="95"/>
        <v>15.126346190312363</v>
      </c>
      <c r="BH47" s="61">
        <f t="shared" si="96"/>
        <v>96.431871075627726</v>
      </c>
      <c r="BI47" s="59" t="str">
        <f t="shared" si="97"/>
        <v>-1.65478982466804+105.511051236138i</v>
      </c>
      <c r="BJ47" s="64">
        <f t="shared" si="98"/>
        <v>40.467027122688108</v>
      </c>
      <c r="BK47" s="61">
        <f t="shared" si="99"/>
        <v>90.898528629556893</v>
      </c>
      <c r="BL47" s="59" t="str">
        <f t="shared" si="100"/>
        <v>-12.8405573071905+610.920667971551i</v>
      </c>
      <c r="BM47" s="64">
        <f t="shared" si="101"/>
        <v>55.721614526147377</v>
      </c>
      <c r="BN47" s="61">
        <f t="shared" si="102"/>
        <v>91.204086666133207</v>
      </c>
      <c r="BO47" s="50">
        <f t="shared" si="103"/>
        <v>40.467027122688108</v>
      </c>
      <c r="BP47" s="61">
        <f t="shared" si="104"/>
        <v>90.898528629556893</v>
      </c>
    </row>
    <row r="48" spans="1:68" x14ac:dyDescent="0.25">
      <c r="A48" s="32" t="s">
        <v>176</v>
      </c>
      <c r="B48" s="1">
        <f>(Vsl*Fsw)</f>
        <v>19200</v>
      </c>
      <c r="C48" s="32" t="s">
        <v>121</v>
      </c>
      <c r="D48" s="32"/>
      <c r="E48" s="32" t="s">
        <v>177</v>
      </c>
      <c r="F48" s="32"/>
      <c r="G48" s="32"/>
      <c r="K48" s="32"/>
      <c r="L48" s="32"/>
      <c r="N48" s="11">
        <v>30</v>
      </c>
      <c r="O48" s="51">
        <f t="shared" si="63"/>
        <v>19.952623149688804</v>
      </c>
      <c r="P48" s="49" t="str">
        <f t="shared" si="52"/>
        <v>37.1583961085025</v>
      </c>
      <c r="Q48" s="18" t="str">
        <f t="shared" si="64"/>
        <v>1+0.0982631365969647i</v>
      </c>
      <c r="R48" s="18">
        <f t="shared" si="65"/>
        <v>1.0048162240001273</v>
      </c>
      <c r="S48" s="18">
        <f t="shared" si="66"/>
        <v>9.7948691675287095E-2</v>
      </c>
      <c r="T48" s="18" t="str">
        <f t="shared" si="53"/>
        <v>1+0.000112829425752435i</v>
      </c>
      <c r="U48" s="18">
        <f t="shared" si="67"/>
        <v>1.0000000063652397</v>
      </c>
      <c r="V48" s="18">
        <f t="shared" si="68"/>
        <v>1.1282942527364411E-4</v>
      </c>
      <c r="W48" s="32" t="str">
        <f t="shared" si="54"/>
        <v>1-0.000987583949366646i</v>
      </c>
      <c r="X48" s="18">
        <f t="shared" si="69"/>
        <v>1.0000004876609097</v>
      </c>
      <c r="Y48" s="18">
        <f t="shared" si="70"/>
        <v>-9.8758362829603086E-4</v>
      </c>
      <c r="Z48" s="32" t="str">
        <f t="shared" si="71"/>
        <v>0.999999990047321+0.000237777567604204i</v>
      </c>
      <c r="AA48" s="18">
        <f t="shared" si="72"/>
        <v>1.0000000183164066</v>
      </c>
      <c r="AB48" s="18">
        <f t="shared" si="73"/>
        <v>2.3777756548955823E-4</v>
      </c>
      <c r="AC48" s="32" t="str">
        <f>IMDIV(IMSUM(COMPLEX(0,2*PI()*O48*Constants!$B$61*Constants!$B$62),COMPLEX(1,0)),IMSUM(COMPLEX(0,2*PI()*O48*Constants!$B$61*Constants!$B$62),COMPLEX(2,0)))</f>
        <v>0.50000003143328+0.000125366020732485i</v>
      </c>
      <c r="AD48" s="18">
        <f t="shared" si="74"/>
        <v>0.50000004714991786</v>
      </c>
      <c r="AE48" s="18">
        <f t="shared" si="75"/>
        <v>2.5073202044809123E-4</v>
      </c>
      <c r="AF48" s="66" t="str">
        <f t="shared" si="76"/>
        <v>18.3999648887119-1.824049818586i</v>
      </c>
      <c r="AG48" s="64">
        <f t="shared" si="77"/>
        <v>25.338811464280319</v>
      </c>
      <c r="AH48" s="61">
        <f t="shared" si="78"/>
        <v>-5.6614241301715982</v>
      </c>
      <c r="AI48" s="50" t="str">
        <f t="shared" si="55"/>
        <v>107.538871525172</v>
      </c>
      <c r="AJ48" s="50" t="str">
        <f t="shared" si="56"/>
        <v>1+0.0934139726197106i</v>
      </c>
      <c r="AK48" s="50">
        <f t="shared" si="79"/>
        <v>1.0043536081881701</v>
      </c>
      <c r="AL48" s="50">
        <f t="shared" si="80"/>
        <v>9.3143671022708166E-2</v>
      </c>
      <c r="AM48" s="50" t="str">
        <f t="shared" si="57"/>
        <v>1+0.000112829425752435i</v>
      </c>
      <c r="AN48" s="50">
        <f t="shared" si="81"/>
        <v>1.0000000063652397</v>
      </c>
      <c r="AO48" s="50">
        <f t="shared" si="82"/>
        <v>1.1282942527364411E-4</v>
      </c>
      <c r="AP48" s="50" t="str">
        <f t="shared" si="58"/>
        <v>1-0.000324404155347335i</v>
      </c>
      <c r="AQ48" s="50">
        <f t="shared" si="83"/>
        <v>1.0000000526190267</v>
      </c>
      <c r="AR48" s="50">
        <f t="shared" si="84"/>
        <v>-3.2440414396744819E-4</v>
      </c>
      <c r="AS48" s="59" t="str">
        <f t="shared" si="85"/>
        <v>106.606483729182-9.98128765982527i</v>
      </c>
      <c r="AT48" s="50">
        <f t="shared" si="86"/>
        <v>40.593577126355889</v>
      </c>
      <c r="AU48" s="61">
        <f t="shared" si="87"/>
        <v>-5.3488615763889635</v>
      </c>
      <c r="AV48" s="32" t="str">
        <f t="shared" si="59"/>
        <v>-0.0000333333333333333</v>
      </c>
      <c r="AW48" s="32" t="str">
        <f t="shared" si="60"/>
        <v>6.01756937346317E-06i</v>
      </c>
      <c r="AX48" s="32">
        <f t="shared" si="88"/>
        <v>6.0175693734631699E-6</v>
      </c>
      <c r="AY48" s="32">
        <f t="shared" si="89"/>
        <v>1.5707963267948966</v>
      </c>
      <c r="AZ48" s="32" t="str">
        <f t="shared" si="61"/>
        <v>1+0.00245508472702057i</v>
      </c>
      <c r="BA48" s="32">
        <f t="shared" si="90"/>
        <v>1.0000030137159672</v>
      </c>
      <c r="BB48" s="32">
        <f t="shared" si="91"/>
        <v>2.4550797944122805E-3</v>
      </c>
      <c r="BC48" s="32" t="str">
        <f t="shared" si="62"/>
        <v>1+0.117844066896987i</v>
      </c>
      <c r="BD48" s="32">
        <f t="shared" si="92"/>
        <v>1.0069196711271569</v>
      </c>
      <c r="BE48" s="32">
        <f t="shared" si="93"/>
        <v>0.1173030586656475</v>
      </c>
      <c r="BF48" s="59" t="str">
        <f t="shared" si="94"/>
        <v>-0.639174388154816+5.54090434160693i</v>
      </c>
      <c r="BG48" s="50">
        <f t="shared" si="95"/>
        <v>14.929023120021945</v>
      </c>
      <c r="BH48" s="61">
        <f t="shared" si="96"/>
        <v>96.580304474929434</v>
      </c>
      <c r="BI48" s="59" t="str">
        <f t="shared" si="97"/>
        <v>-1.65390074070203+103.118331264037i</v>
      </c>
      <c r="BJ48" s="64">
        <f t="shared" si="98"/>
        <v>40.267834584302229</v>
      </c>
      <c r="BK48" s="61">
        <f t="shared" si="99"/>
        <v>90.918880344757852</v>
      </c>
      <c r="BL48" s="59" t="str">
        <f t="shared" si="100"/>
        <v>-12.8347738817827+597.076111971439i</v>
      </c>
      <c r="BM48" s="64">
        <f t="shared" si="101"/>
        <v>55.522600246377834</v>
      </c>
      <c r="BN48" s="61">
        <f t="shared" si="102"/>
        <v>91.231442898540465</v>
      </c>
      <c r="BO48" s="50">
        <f t="shared" si="103"/>
        <v>40.267834584302229</v>
      </c>
      <c r="BP48" s="61">
        <f t="shared" si="104"/>
        <v>90.918880344757852</v>
      </c>
    </row>
    <row r="49" spans="1:68" x14ac:dyDescent="0.25">
      <c r="A49" s="32" t="s">
        <v>179</v>
      </c>
      <c r="B49" s="1">
        <f>(R_cs*VIN_var)/Lm</f>
        <v>6545.454545454546</v>
      </c>
      <c r="C49" s="32" t="s">
        <v>121</v>
      </c>
      <c r="D49" s="32"/>
      <c r="E49" s="32" t="s">
        <v>178</v>
      </c>
      <c r="F49" s="32"/>
      <c r="G49" s="32"/>
      <c r="J49" s="32">
        <f>(0.5-(1-(VIN_var/VOUT)))</f>
        <v>-0.17999999999999994</v>
      </c>
      <c r="N49" s="11">
        <v>31</v>
      </c>
      <c r="O49" s="51">
        <f t="shared" si="63"/>
        <v>20.4173794466953</v>
      </c>
      <c r="P49" s="49" t="str">
        <f t="shared" si="52"/>
        <v>37.1583961085025</v>
      </c>
      <c r="Q49" s="18" t="str">
        <f t="shared" si="64"/>
        <v>1+0.1005519790792i</v>
      </c>
      <c r="R49" s="18">
        <f t="shared" si="65"/>
        <v>1.0050426361586575</v>
      </c>
      <c r="S49" s="18">
        <f t="shared" si="66"/>
        <v>0.10021513651044604</v>
      </c>
      <c r="T49" s="18" t="str">
        <f t="shared" si="53"/>
        <v>1+0.000115457560695527i</v>
      </c>
      <c r="U49" s="18">
        <f t="shared" si="67"/>
        <v>1.0000000066652242</v>
      </c>
      <c r="V49" s="18">
        <f t="shared" si="68"/>
        <v>1.1545756018249332E-4</v>
      </c>
      <c r="W49" s="32" t="str">
        <f t="shared" si="54"/>
        <v>1-0.00101058773467584i</v>
      </c>
      <c r="X49" s="18">
        <f t="shared" si="69"/>
        <v>1.0000005106436543</v>
      </c>
      <c r="Y49" s="18">
        <f t="shared" si="70"/>
        <v>-1.010587390642487E-3</v>
      </c>
      <c r="Z49" s="32" t="str">
        <f t="shared" si="71"/>
        <v>0.999999989578265+0.000243316118650945i</v>
      </c>
      <c r="AA49" s="18">
        <f t="shared" si="72"/>
        <v>1.0000000191796319</v>
      </c>
      <c r="AB49" s="18">
        <f t="shared" si="73"/>
        <v>2.4331611638506138E-4</v>
      </c>
      <c r="AC49" s="32" t="str">
        <f>IMDIV(IMSUM(COMPLEX(0,2*PI()*O49*Constants!$B$61*Constants!$B$62),COMPLEX(1,0)),IMSUM(COMPLEX(0,2*PI()*O49*Constants!$B$61*Constants!$B$62),COMPLEX(2,0)))</f>
        <v>0.500000032914685+0.000128286170105588i</v>
      </c>
      <c r="AD49" s="18">
        <f t="shared" si="74"/>
        <v>0.50000004937202513</v>
      </c>
      <c r="AE49" s="18">
        <f t="shared" si="75"/>
        <v>2.5657231769118482E-4</v>
      </c>
      <c r="AF49" s="66" t="str">
        <f t="shared" si="76"/>
        <v>18.3916024400622-1.86569653625674i</v>
      </c>
      <c r="AG49" s="64">
        <f t="shared" si="77"/>
        <v>25.336854753206076</v>
      </c>
      <c r="AH49" s="61">
        <f t="shared" si="78"/>
        <v>-5.7924320023903819</v>
      </c>
      <c r="AI49" s="50" t="str">
        <f t="shared" si="55"/>
        <v>107.538871525172</v>
      </c>
      <c r="AJ49" s="50" t="str">
        <f t="shared" si="56"/>
        <v>1+0.0955898635628558i</v>
      </c>
      <c r="AK49" s="50">
        <f t="shared" si="79"/>
        <v>1.004558321858898</v>
      </c>
      <c r="AL49" s="50">
        <f t="shared" si="80"/>
        <v>9.5300301117368702E-2</v>
      </c>
      <c r="AM49" s="50" t="str">
        <f t="shared" si="57"/>
        <v>1+0.000115457560695527i</v>
      </c>
      <c r="AN49" s="50">
        <f t="shared" si="81"/>
        <v>1.0000000066652242</v>
      </c>
      <c r="AO49" s="50">
        <f t="shared" si="82"/>
        <v>1.1545756018249332E-4</v>
      </c>
      <c r="AP49" s="50" t="str">
        <f t="shared" si="58"/>
        <v>1-0.000331960498833684i</v>
      </c>
      <c r="AQ49" s="50">
        <f t="shared" si="83"/>
        <v>1.0000000550988848</v>
      </c>
      <c r="AR49" s="50">
        <f t="shared" si="84"/>
        <v>-3.3196048663991561E-4</v>
      </c>
      <c r="AS49" s="59" t="str">
        <f t="shared" si="85"/>
        <v>106.56293952788-10.2096193319761i</v>
      </c>
      <c r="AT49" s="50">
        <f t="shared" si="86"/>
        <v>40.591806918236834</v>
      </c>
      <c r="AU49" s="61">
        <f t="shared" si="87"/>
        <v>-5.4727097442893173</v>
      </c>
      <c r="AV49" s="32" t="str">
        <f t="shared" si="59"/>
        <v>-0.0000333333333333333</v>
      </c>
      <c r="AW49" s="32" t="str">
        <f t="shared" si="60"/>
        <v>6.15773657042815E-06i</v>
      </c>
      <c r="AX49" s="32">
        <f t="shared" si="88"/>
        <v>6.1577365704281504E-6</v>
      </c>
      <c r="AY49" s="32">
        <f t="shared" si="89"/>
        <v>1.5707963267948966</v>
      </c>
      <c r="AZ49" s="32" t="str">
        <f t="shared" si="61"/>
        <v>1+0.00251227099661564i</v>
      </c>
      <c r="BA49" s="32">
        <f t="shared" si="90"/>
        <v>1.0000031557478009</v>
      </c>
      <c r="BB49" s="32">
        <f t="shared" si="91"/>
        <v>2.5122657112315338E-3</v>
      </c>
      <c r="BC49" s="32" t="str">
        <f t="shared" si="62"/>
        <v>1+0.120589007837551i</v>
      </c>
      <c r="BD49" s="32">
        <f t="shared" si="92"/>
        <v>1.0072446122026391</v>
      </c>
      <c r="BE49" s="32">
        <f t="shared" si="93"/>
        <v>0.12000953202542328</v>
      </c>
      <c r="BF49" s="59" t="str">
        <f t="shared" si="94"/>
        <v>-0.639174206589179+5.41485023189049i</v>
      </c>
      <c r="BG49" s="50">
        <f t="shared" si="95"/>
        <v>14.731824440611646</v>
      </c>
      <c r="BH49" s="61">
        <f t="shared" si="96"/>
        <v>96.732097464127818</v>
      </c>
      <c r="BI49" s="59" t="str">
        <f t="shared" si="97"/>
        <v>-1.65297057554327+100.780277840707i</v>
      </c>
      <c r="BJ49" s="64">
        <f t="shared" si="98"/>
        <v>40.068679193817758</v>
      </c>
      <c r="BK49" s="61">
        <f t="shared" si="99"/>
        <v>90.939665461737434</v>
      </c>
      <c r="BL49" s="59" t="str">
        <f t="shared" si="100"/>
        <v>-12.8287227172789+583.548083149567i</v>
      </c>
      <c r="BM49" s="64">
        <f t="shared" si="101"/>
        <v>55.323631358848488</v>
      </c>
      <c r="BN49" s="61">
        <f t="shared" si="102"/>
        <v>91.259387719838514</v>
      </c>
      <c r="BO49" s="50">
        <f t="shared" si="103"/>
        <v>40.068679193817758</v>
      </c>
      <c r="BP49" s="61">
        <f t="shared" si="104"/>
        <v>90.939665461737434</v>
      </c>
    </row>
    <row r="50" spans="1:68" x14ac:dyDescent="0.25">
      <c r="B50" s="1"/>
      <c r="J50" s="32">
        <f>Lm*Fsw</f>
        <v>1.3199999999999998</v>
      </c>
      <c r="K50" s="32"/>
      <c r="N50" s="11">
        <v>32</v>
      </c>
      <c r="O50" s="51">
        <f t="shared" si="63"/>
        <v>20.8929613085404</v>
      </c>
      <c r="P50" s="49" t="str">
        <f t="shared" si="52"/>
        <v>37.1583961085025</v>
      </c>
      <c r="Q50" s="18" t="str">
        <f t="shared" si="64"/>
        <v>1+0.102894135551707i</v>
      </c>
      <c r="R50" s="18">
        <f t="shared" si="65"/>
        <v>1.0052796641387576</v>
      </c>
      <c r="S50" s="18">
        <f t="shared" si="66"/>
        <v>0.10253330453662859</v>
      </c>
      <c r="T50" s="18" t="str">
        <f t="shared" si="53"/>
        <v>1+0.000118146912765564i</v>
      </c>
      <c r="U50" s="18">
        <f t="shared" si="67"/>
        <v>1.0000000069793464</v>
      </c>
      <c r="V50" s="18">
        <f t="shared" si="68"/>
        <v>1.181469122158385E-4</v>
      </c>
      <c r="W50" s="32" t="str">
        <f t="shared" si="54"/>
        <v>1-0.00103412734697867i</v>
      </c>
      <c r="X50" s="18">
        <f t="shared" si="69"/>
        <v>1.000000534709542</v>
      </c>
      <c r="Y50" s="18">
        <f t="shared" si="70"/>
        <v>-1.0341269783403014E-3</v>
      </c>
      <c r="Z50" s="32" t="str">
        <f t="shared" si="71"/>
        <v>0.999999989087104+0.000248983679124465i</v>
      </c>
      <c r="AA50" s="18">
        <f t="shared" si="72"/>
        <v>1.0000000200835399</v>
      </c>
      <c r="AB50" s="18">
        <f t="shared" si="73"/>
        <v>2.4898367669652692E-4</v>
      </c>
      <c r="AC50" s="32" t="str">
        <f>IMDIV(IMSUM(COMPLEX(0,2*PI()*O50*Constants!$B$61*Constants!$B$62),COMPLEX(1,0)),IMSUM(COMPLEX(0,2*PI()*O50*Constants!$B$61*Constants!$B$62),COMPLEX(2,0)))</f>
        <v>0.500000034465906+0.000131274338468314i</v>
      </c>
      <c r="AD50" s="18">
        <f t="shared" si="74"/>
        <v>0.50000005169885653</v>
      </c>
      <c r="AE50" s="18">
        <f t="shared" si="75"/>
        <v>2.6254865280602309E-4</v>
      </c>
      <c r="AF50" s="66" t="str">
        <f t="shared" si="76"/>
        <v>18.3828539531431-1.90825402336976i</v>
      </c>
      <c r="AG50" s="64">
        <f t="shared" si="77"/>
        <v>25.334806769862755</v>
      </c>
      <c r="AH50" s="61">
        <f t="shared" si="78"/>
        <v>-5.9264301855051338</v>
      </c>
      <c r="AI50" s="50" t="str">
        <f t="shared" si="55"/>
        <v>107.538871525172</v>
      </c>
      <c r="AJ50" s="50" t="str">
        <f t="shared" si="56"/>
        <v>1+0.0978164375169443i</v>
      </c>
      <c r="AK50" s="50">
        <f t="shared" si="79"/>
        <v>1.0047726386842479</v>
      </c>
      <c r="AL50" s="50">
        <f t="shared" si="80"/>
        <v>9.7506245308266154E-2</v>
      </c>
      <c r="AM50" s="50" t="str">
        <f t="shared" si="57"/>
        <v>1+0.000118146912765564i</v>
      </c>
      <c r="AN50" s="50">
        <f t="shared" si="81"/>
        <v>1.0000000069793464</v>
      </c>
      <c r="AO50" s="50">
        <f t="shared" si="82"/>
        <v>1.181469122158385E-4</v>
      </c>
      <c r="AP50" s="50" t="str">
        <f t="shared" si="58"/>
        <v>1-0.000339692852170534i</v>
      </c>
      <c r="AQ50" s="50">
        <f t="shared" si="83"/>
        <v>1.0000000576956154</v>
      </c>
      <c r="AR50" s="50">
        <f t="shared" si="84"/>
        <v>-3.3969283910467582E-4</v>
      </c>
      <c r="AS50" s="59" t="str">
        <f t="shared" si="85"/>
        <v>106.5173811747-10.4429755604582i</v>
      </c>
      <c r="AT50" s="50">
        <f t="shared" si="86"/>
        <v>40.589954055831463</v>
      </c>
      <c r="AU50" s="61">
        <f t="shared" si="87"/>
        <v>-5.5993899789099908</v>
      </c>
      <c r="AV50" s="32" t="str">
        <f t="shared" si="59"/>
        <v>-0.0000333333333333333</v>
      </c>
      <c r="AW50" s="32" t="str">
        <f t="shared" si="60"/>
        <v>6.30116868083005E-06i</v>
      </c>
      <c r="AX50" s="32">
        <f t="shared" si="88"/>
        <v>6.3011686808300497E-6</v>
      </c>
      <c r="AY50" s="32">
        <f t="shared" si="89"/>
        <v>1.5707963267948966</v>
      </c>
      <c r="AZ50" s="32" t="str">
        <f t="shared" si="61"/>
        <v>1+0.00257078930554699i</v>
      </c>
      <c r="BA50" s="32">
        <f t="shared" si="90"/>
        <v>1.0000033044733669</v>
      </c>
      <c r="BB50" s="32">
        <f t="shared" si="91"/>
        <v>2.5707836421568955E-3</v>
      </c>
      <c r="BC50" s="32" t="str">
        <f t="shared" si="62"/>
        <v>1+0.123397886666256i</v>
      </c>
      <c r="BD50" s="32">
        <f t="shared" si="92"/>
        <v>1.0075847549629253</v>
      </c>
      <c r="BE50" s="32">
        <f t="shared" si="93"/>
        <v>0.12277721930868934</v>
      </c>
      <c r="BF50" s="59" t="str">
        <f t="shared" si="94"/>
        <v>-0.639174016466736+5.29166714739799i</v>
      </c>
      <c r="BG50" s="50">
        <f t="shared" si="95"/>
        <v>14.534755846283174</v>
      </c>
      <c r="BH50" s="61">
        <f t="shared" si="96"/>
        <v>96.887321434003155</v>
      </c>
      <c r="BI50" s="59" t="str">
        <f t="shared" si="97"/>
        <v>-1.6519974709961+98.4956507278187i</v>
      </c>
      <c r="BJ50" s="64">
        <f t="shared" si="98"/>
        <v>39.869562616145934</v>
      </c>
      <c r="BK50" s="61">
        <f t="shared" si="99"/>
        <v>90.960891248498029</v>
      </c>
      <c r="BL50" s="59" t="str">
        <f t="shared" ref="BL50:BL113" si="105">IMPRODUCT(AS50,BF50)</f>
        <v>-12.8223916545945+570.329405221871i</v>
      </c>
      <c r="BM50" s="64">
        <f t="shared" si="101"/>
        <v>55.124709902114631</v>
      </c>
      <c r="BN50" s="61">
        <f t="shared" ref="BN50:BN113" si="106">(180/PI())*IMARGUMENT(BL50)</f>
        <v>91.287931455093158</v>
      </c>
      <c r="BO50" s="50">
        <f t="shared" si="103"/>
        <v>39.869562616145934</v>
      </c>
      <c r="BP50" s="61">
        <f t="shared" si="104"/>
        <v>90.960891248498029</v>
      </c>
    </row>
    <row r="51" spans="1:68" x14ac:dyDescent="0.25">
      <c r="A51" t="s">
        <v>174</v>
      </c>
      <c r="B51" s="1">
        <f>2*PI()*Fsw</f>
        <v>2513274.1228718343</v>
      </c>
      <c r="C51" t="s">
        <v>180</v>
      </c>
      <c r="N51" s="11">
        <v>33</v>
      </c>
      <c r="O51" s="51">
        <f t="shared" si="63"/>
        <v>21.379620895022335</v>
      </c>
      <c r="P51" s="49" t="str">
        <f t="shared" si="52"/>
        <v>37.1583961085025</v>
      </c>
      <c r="Q51" s="18" t="str">
        <f t="shared" si="64"/>
        <v>1+0.105290847856848i</v>
      </c>
      <c r="R51" s="18">
        <f t="shared" si="65"/>
        <v>1.0055278030181034</v>
      </c>
      <c r="S51" s="18">
        <f t="shared" si="66"/>
        <v>0.10490432516174929</v>
      </c>
      <c r="T51" s="18" t="str">
        <f t="shared" si="53"/>
        <v>1+0.000120898907892607i</v>
      </c>
      <c r="U51" s="18">
        <f t="shared" si="67"/>
        <v>1.0000000073082729</v>
      </c>
      <c r="V51" s="18">
        <f t="shared" si="68"/>
        <v>1.2089890730356552E-4</v>
      </c>
      <c r="W51" s="32" t="str">
        <f t="shared" si="54"/>
        <v>1-0.00105821526728916i</v>
      </c>
      <c r="X51" s="18">
        <f t="shared" si="69"/>
        <v>1.0000005599096193</v>
      </c>
      <c r="Y51" s="18">
        <f t="shared" si="70"/>
        <v>-1.0582148722860431E-3</v>
      </c>
      <c r="Z51" s="32" t="str">
        <f t="shared" si="71"/>
        <v>0.999999988572795+0.000254783254040345i</v>
      </c>
      <c r="AA51" s="18">
        <f t="shared" si="72"/>
        <v>1.0000000210300481</v>
      </c>
      <c r="AB51" s="18">
        <f t="shared" si="73"/>
        <v>2.5478325143876246E-4</v>
      </c>
      <c r="AC51" s="32" t="str">
        <f>IMDIV(IMSUM(COMPLEX(0,2*PI()*O51*Constants!$B$61*Constants!$B$62),COMPLEX(1,0)),IMSUM(COMPLEX(0,2*PI()*O51*Constants!$B$61*Constants!$B$62),COMPLEX(2,0)))</f>
        <v>0.500000036090234+0.000134332110184519i</v>
      </c>
      <c r="AD51" s="18">
        <f t="shared" si="74"/>
        <v>0.50000005413534832</v>
      </c>
      <c r="AE51" s="18">
        <f t="shared" si="75"/>
        <v>2.6866419451262926E-4</v>
      </c>
      <c r="AF51" s="66" t="str">
        <f t="shared" si="76"/>
        <v>18.3737020007613-1.95173935288149i</v>
      </c>
      <c r="AG51" s="64">
        <f t="shared" si="77"/>
        <v>25.332663302884786</v>
      </c>
      <c r="AH51" s="61">
        <f t="shared" si="78"/>
        <v>-6.0634840138462236</v>
      </c>
      <c r="AI51" s="50" t="str">
        <f t="shared" si="55"/>
        <v>107.538871525172</v>
      </c>
      <c r="AJ51" s="50" t="str">
        <f t="shared" si="56"/>
        <v>1+0.100094875040957i</v>
      </c>
      <c r="AK51" s="50">
        <f t="shared" si="79"/>
        <v>1.0049970069654262</v>
      </c>
      <c r="AL51" s="50">
        <f t="shared" si="80"/>
        <v>9.9762587292618596E-2</v>
      </c>
      <c r="AM51" s="50" t="str">
        <f t="shared" si="57"/>
        <v>1+0.000120898907892607i</v>
      </c>
      <c r="AN51" s="50">
        <f t="shared" si="81"/>
        <v>1.0000000073082729</v>
      </c>
      <c r="AO51" s="50">
        <f t="shared" si="82"/>
        <v>1.2089890730356552E-4</v>
      </c>
      <c r="AP51" s="50" t="str">
        <f t="shared" si="58"/>
        <v>1-0.000347605315153969i</v>
      </c>
      <c r="AQ51" s="50">
        <f t="shared" si="83"/>
        <v>1.0000000604147257</v>
      </c>
      <c r="AR51" s="50">
        <f t="shared" si="84"/>
        <v>-3.4760530115364978E-4</v>
      </c>
      <c r="AS51" s="59" t="str">
        <f t="shared" si="85"/>
        <v>106.469717360625-10.6814528060622i</v>
      </c>
      <c r="AT51" s="50">
        <f t="shared" si="86"/>
        <v>40.588014717622521</v>
      </c>
      <c r="AU51" s="61">
        <f t="shared" si="87"/>
        <v>-5.7289645247287542</v>
      </c>
      <c r="AV51" s="32" t="str">
        <f t="shared" si="59"/>
        <v>-0.0000333333333333333</v>
      </c>
      <c r="AW51" s="32" t="str">
        <f t="shared" si="60"/>
        <v>6.44794175427235E-06i</v>
      </c>
      <c r="AX51" s="32">
        <f t="shared" si="88"/>
        <v>6.4479417542723501E-6</v>
      </c>
      <c r="AY51" s="32">
        <f t="shared" si="89"/>
        <v>1.5707963267948966</v>
      </c>
      <c r="AZ51" s="32" t="str">
        <f t="shared" si="61"/>
        <v>1+0.00263067068099653i</v>
      </c>
      <c r="BA51" s="32">
        <f t="shared" si="90"/>
        <v>1.0000034602081294</v>
      </c>
      <c r="BB51" s="32">
        <f t="shared" si="91"/>
        <v>2.6306646125658444E-3</v>
      </c>
      <c r="BC51" s="32" t="str">
        <f t="shared" si="62"/>
        <v>1+0.126272192687834i</v>
      </c>
      <c r="BD51" s="32">
        <f t="shared" si="92"/>
        <v>1.00794080513004</v>
      </c>
      <c r="BE51" s="32">
        <f t="shared" si="93"/>
        <v>0.12560741828300426</v>
      </c>
      <c r="BF51" s="59" t="str">
        <f t="shared" si="94"/>
        <v>-0.639173817384213+5.1712897748245i</v>
      </c>
      <c r="BG51" s="50">
        <f t="shared" si="95"/>
        <v>14.337823283739276</v>
      </c>
      <c r="BH51" s="61">
        <f t="shared" si="96"/>
        <v>97.046048963536052</v>
      </c>
      <c r="BI51" s="59" t="str">
        <f t="shared" si="97"/>
        <v>-1.65097948862791+96.2632379749296i</v>
      </c>
      <c r="BJ51" s="64">
        <f t="shared" si="98"/>
        <v>39.670486586624058</v>
      </c>
      <c r="BK51" s="61">
        <f t="shared" si="99"/>
        <v>90.982564949689831</v>
      </c>
      <c r="BL51" s="59" t="str">
        <f t="shared" si="105"/>
        <v>-12.815768004949+557.413065680715i</v>
      </c>
      <c r="BM51" s="64">
        <f t="shared" si="101"/>
        <v>54.925838001361804</v>
      </c>
      <c r="BN51" s="61">
        <f t="shared" si="106"/>
        <v>91.317084438807299</v>
      </c>
      <c r="BO51" s="50">
        <f t="shared" si="103"/>
        <v>39.670486586624058</v>
      </c>
      <c r="BP51" s="61">
        <f t="shared" si="104"/>
        <v>90.982564949689831</v>
      </c>
    </row>
    <row r="52" spans="1:68" x14ac:dyDescent="0.25">
      <c r="A52" t="s">
        <v>175</v>
      </c>
      <c r="B52" s="1">
        <f>1/(PI()*(((VIN_var/VOUT)*(1+(B48/B49)))-0.5))</f>
        <v>0.41956487634067319</v>
      </c>
      <c r="K52" s="32"/>
      <c r="N52" s="11">
        <v>34</v>
      </c>
      <c r="O52" s="51">
        <f t="shared" si="63"/>
        <v>21.877616239495538</v>
      </c>
      <c r="P52" s="49" t="str">
        <f t="shared" si="52"/>
        <v>37.1583961085025</v>
      </c>
      <c r="Q52" s="18" t="str">
        <f t="shared" si="64"/>
        <v>1+0.107743386763211i</v>
      </c>
      <c r="R52" s="18">
        <f t="shared" si="65"/>
        <v>1.005787570708252</v>
      </c>
      <c r="S52" s="18">
        <f t="shared" si="66"/>
        <v>0.10732934883999656</v>
      </c>
      <c r="T52" s="18" t="str">
        <f t="shared" si="53"/>
        <v>1+0.000123715005220901i</v>
      </c>
      <c r="U52" s="18">
        <f t="shared" si="67"/>
        <v>1.0000000076527011</v>
      </c>
      <c r="V52" s="18">
        <f t="shared" si="68"/>
        <v>1.2371500458973169E-4</v>
      </c>
      <c r="W52" s="32" t="str">
        <f t="shared" si="54"/>
        <v>1-0.0010828642673415i</v>
      </c>
      <c r="X52" s="18">
        <f t="shared" si="69"/>
        <v>1.0000005862973389</v>
      </c>
      <c r="Y52" s="18">
        <f t="shared" si="70"/>
        <v>-1.0828638440880483E-3</v>
      </c>
      <c r="Z52" s="32" t="str">
        <f t="shared" si="71"/>
        <v>0.999999988034248+0.000260717918409972i</v>
      </c>
      <c r="AA52" s="18">
        <f t="shared" si="72"/>
        <v>1.0000000220211642</v>
      </c>
      <c r="AB52" s="18">
        <f t="shared" si="73"/>
        <v>2.6071791562232589E-4</v>
      </c>
      <c r="AC52" s="32" t="str">
        <f>IMDIV(IMSUM(COMPLEX(0,2*PI()*O52*Constants!$B$61*Constants!$B$62),COMPLEX(1,0)),IMSUM(COMPLEX(0,2*PI()*O52*Constants!$B$61*Constants!$B$62),COMPLEX(2,0)))</f>
        <v>0.500000037791114+0.000137461106522494i</v>
      </c>
      <c r="AD52" s="18">
        <f t="shared" si="74"/>
        <v>0.50000005668666803</v>
      </c>
      <c r="AE52" s="18">
        <f t="shared" si="75"/>
        <v>2.7492218533934731E-4</v>
      </c>
      <c r="AF52" s="66" t="str">
        <f t="shared" si="76"/>
        <v>18.3641284065027-1.99616971120199i</v>
      </c>
      <c r="AG52" s="64">
        <f t="shared" si="77"/>
        <v>25.330419950986975</v>
      </c>
      <c r="AH52" s="61">
        <f t="shared" si="78"/>
        <v>-6.2036600421414025</v>
      </c>
      <c r="AI52" s="50" t="str">
        <f t="shared" si="55"/>
        <v>107.538871525172</v>
      </c>
      <c r="AJ52" s="50" t="str">
        <f t="shared" si="56"/>
        <v>1+0.102426384192629i</v>
      </c>
      <c r="AK52" s="50">
        <f t="shared" si="79"/>
        <v>1.00523189572296</v>
      </c>
      <c r="AL52" s="50">
        <f t="shared" si="80"/>
        <v>0.1020704314646344</v>
      </c>
      <c r="AM52" s="50" t="str">
        <f t="shared" si="57"/>
        <v>1+0.000123715005220901i</v>
      </c>
      <c r="AN52" s="50">
        <f t="shared" si="81"/>
        <v>1.0000000076527011</v>
      </c>
      <c r="AO52" s="50">
        <f t="shared" si="82"/>
        <v>1.2371500458973169E-4</v>
      </c>
      <c r="AP52" s="50" t="str">
        <f t="shared" si="58"/>
        <v>1-0.0003557020830766i</v>
      </c>
      <c r="AQ52" s="50">
        <f t="shared" si="83"/>
        <v>1.0000000632619839</v>
      </c>
      <c r="AR52" s="50">
        <f t="shared" si="84"/>
        <v>-3.5570206807498771E-4</v>
      </c>
      <c r="AS52" s="59" t="str">
        <f t="shared" si="85"/>
        <v>106.41985281435-10.9251483586466i</v>
      </c>
      <c r="AT52" s="50">
        <f t="shared" si="86"/>
        <v>40.585984909009973</v>
      </c>
      <c r="AU52" s="61">
        <f t="shared" si="87"/>
        <v>-5.8614968156421767</v>
      </c>
      <c r="AV52" s="32" t="str">
        <f t="shared" si="59"/>
        <v>-0.0000333333333333333</v>
      </c>
      <c r="AW52" s="32" t="str">
        <f t="shared" si="60"/>
        <v>6.59813361178137E-06i</v>
      </c>
      <c r="AX52" s="32">
        <f t="shared" si="88"/>
        <v>6.5981336117813697E-6</v>
      </c>
      <c r="AY52" s="32">
        <f t="shared" si="89"/>
        <v>1.5707963267948966</v>
      </c>
      <c r="AZ52" s="32" t="str">
        <f t="shared" si="61"/>
        <v>1+0.0026919468728622i</v>
      </c>
      <c r="BA52" s="32">
        <f t="shared" si="90"/>
        <v>1.000003623282419</v>
      </c>
      <c r="BB52" s="32">
        <f t="shared" si="91"/>
        <v>2.6919403704228403E-3</v>
      </c>
      <c r="BC52" s="32" t="str">
        <f t="shared" si="62"/>
        <v>1+0.129213449897386i</v>
      </c>
      <c r="BD52" s="32">
        <f t="shared" si="92"/>
        <v>1.0083135006704931</v>
      </c>
      <c r="BE52" s="32">
        <f t="shared" si="93"/>
        <v>0.1285014481006628</v>
      </c>
      <c r="BF52" s="59" t="str">
        <f t="shared" si="94"/>
        <v>-0.639173608919353+5.05365428849029i</v>
      </c>
      <c r="BG52" s="50">
        <f t="shared" si="95"/>
        <v>14.141032962606253</v>
      </c>
      <c r="BH52" s="61">
        <f t="shared" si="96"/>
        <v>97.208353815561267</v>
      </c>
      <c r="BI52" s="59" t="str">
        <f t="shared" si="97"/>
        <v>-1.64991460667238+94.0818552742332i</v>
      </c>
      <c r="BJ52" s="64">
        <f t="shared" si="98"/>
        <v>39.471452913593225</v>
      </c>
      <c r="BK52" s="61">
        <f t="shared" si="99"/>
        <v>91.004693773419874</v>
      </c>
      <c r="BL52" s="59" t="str">
        <f t="shared" si="105"/>
        <v>-12.8088385289474+544.792212060121i</v>
      </c>
      <c r="BM52" s="64">
        <f t="shared" si="101"/>
        <v>54.727017871616219</v>
      </c>
      <c r="BN52" s="61">
        <f t="shared" si="106"/>
        <v>91.346856999919083</v>
      </c>
      <c r="BO52" s="50">
        <f t="shared" si="103"/>
        <v>39.471452913593225</v>
      </c>
      <c r="BP52" s="61">
        <f t="shared" si="104"/>
        <v>91.004693773419874</v>
      </c>
    </row>
    <row r="53" spans="1:68" x14ac:dyDescent="0.25">
      <c r="K53" s="32"/>
      <c r="N53" s="11">
        <v>35</v>
      </c>
      <c r="O53" s="51">
        <f t="shared" si="63"/>
        <v>22.387211385683404</v>
      </c>
      <c r="P53" s="49" t="str">
        <f t="shared" si="52"/>
        <v>37.1583961085025</v>
      </c>
      <c r="Q53" s="18" t="str">
        <f t="shared" si="64"/>
        <v>1+0.110253052639389i</v>
      </c>
      <c r="R53" s="18">
        <f t="shared" si="65"/>
        <v>1.0060595089835909</v>
      </c>
      <c r="S53" s="18">
        <f t="shared" si="66"/>
        <v>0.10980954720137248</v>
      </c>
      <c r="T53" s="18" t="str">
        <f t="shared" si="53"/>
        <v>1+0.000126596697882525i</v>
      </c>
      <c r="U53" s="18">
        <f t="shared" si="67"/>
        <v>1.000000008013362</v>
      </c>
      <c r="V53" s="18">
        <f t="shared" si="68"/>
        <v>1.2659669720621489E-4</v>
      </c>
      <c r="W53" s="32" t="str">
        <f t="shared" si="54"/>
        <v>1-0.0011080874163618i</v>
      </c>
      <c r="X53" s="18">
        <f t="shared" si="69"/>
        <v>1.0000006139286728</v>
      </c>
      <c r="Y53" s="18">
        <f t="shared" si="70"/>
        <v>-1.1080869628375704E-3</v>
      </c>
      <c r="Z53" s="32" t="str">
        <f t="shared" si="71"/>
        <v>0.999999987470319+0.000266790818870951i</v>
      </c>
      <c r="AA53" s="18">
        <f t="shared" si="72"/>
        <v>1.0000000230589894</v>
      </c>
      <c r="AB53" s="18">
        <f t="shared" si="73"/>
        <v>2.6679081588393456E-4</v>
      </c>
      <c r="AC53" s="32" t="str">
        <f>IMDIV(IMSUM(COMPLEX(0,2*PI()*O53*Constants!$B$61*Constants!$B$62),COMPLEX(1,0)),IMSUM(COMPLEX(0,2*PI()*O53*Constants!$B$61*Constants!$B$62),COMPLEX(2,0)))</f>
        <v>0.500000039572155+0.000140662986514574i</v>
      </c>
      <c r="AD53" s="18">
        <f t="shared" si="74"/>
        <v>0.50000005935822878</v>
      </c>
      <c r="AE53" s="18">
        <f t="shared" si="75"/>
        <v>2.8132594334201916E-4</v>
      </c>
      <c r="AF53" s="66" t="str">
        <f t="shared" si="76"/>
        <v>18.3541142161125-2.04156238193236i</v>
      </c>
      <c r="AG53" s="64">
        <f t="shared" si="77"/>
        <v>25.328072114818049</v>
      </c>
      <c r="AH53" s="61">
        <f t="shared" si="78"/>
        <v>-6.3470260532770322</v>
      </c>
      <c r="AI53" s="50" t="str">
        <f t="shared" si="55"/>
        <v>107.538871525172</v>
      </c>
      <c r="AJ53" s="50" t="str">
        <f t="shared" si="56"/>
        <v>1+0.104812201168974i</v>
      </c>
      <c r="AK53" s="50">
        <f t="shared" si="79"/>
        <v>1.0054777956344365</v>
      </c>
      <c r="AL53" s="50">
        <f t="shared" si="80"/>
        <v>0.10443090308467257</v>
      </c>
      <c r="AM53" s="50" t="str">
        <f t="shared" si="57"/>
        <v>1+0.000126596697882525i</v>
      </c>
      <c r="AN53" s="50">
        <f t="shared" si="81"/>
        <v>1.000000008013362</v>
      </c>
      <c r="AO53" s="50">
        <f t="shared" si="82"/>
        <v>1.2659669720621489E-4</v>
      </c>
      <c r="AP53" s="50" t="str">
        <f t="shared" si="58"/>
        <v>1-0.000363987448951952i</v>
      </c>
      <c r="AQ53" s="50">
        <f t="shared" si="83"/>
        <v>1.0000000662434294</v>
      </c>
      <c r="AR53" s="50">
        <f t="shared" si="84"/>
        <v>-3.6398743287743482E-4</v>
      </c>
      <c r="AS53" s="59" t="str">
        <f t="shared" si="85"/>
        <v>106.367688147303-11.1741602614543i</v>
      </c>
      <c r="AT53" s="50">
        <f t="shared" si="86"/>
        <v>40.583860454815138</v>
      </c>
      <c r="AU53" s="61">
        <f t="shared" si="87"/>
        <v>-5.9970514847409184</v>
      </c>
      <c r="AV53" s="32" t="str">
        <f t="shared" si="59"/>
        <v>-0.0000333333333333333</v>
      </c>
      <c r="AW53" s="32" t="str">
        <f t="shared" si="60"/>
        <v>6.75182388706798E-06i</v>
      </c>
      <c r="AX53" s="32">
        <f t="shared" si="88"/>
        <v>6.7518238870679797E-6</v>
      </c>
      <c r="AY53" s="32">
        <f t="shared" si="89"/>
        <v>1.5707963267948966</v>
      </c>
      <c r="AZ53" s="32" t="str">
        <f t="shared" si="61"/>
        <v>1+0.00275465037059198i</v>
      </c>
      <c r="BA53" s="32">
        <f t="shared" si="90"/>
        <v>1.0000037940421347</v>
      </c>
      <c r="BB53" s="32">
        <f t="shared" si="91"/>
        <v>2.7546434031041028E-3</v>
      </c>
      <c r="BC53" s="32" t="str">
        <f t="shared" si="62"/>
        <v>1+0.132223217788415i</v>
      </c>
      <c r="BD53" s="32">
        <f t="shared" si="92"/>
        <v>1.008703613219623</v>
      </c>
      <c r="BE53" s="32">
        <f t="shared" si="93"/>
        <v>0.13146064920184833</v>
      </c>
      <c r="BF53" s="59" t="str">
        <f t="shared" si="94"/>
        <v>-0.639173390629989+4.9386983165i</v>
      </c>
      <c r="BG53" s="50">
        <f t="shared" si="95"/>
        <v>13.944391366213962</v>
      </c>
      <c r="BH53" s="61">
        <f t="shared" si="96"/>
        <v>97.37431093025431</v>
      </c>
      <c r="BI53" s="59" t="str">
        <f t="shared" si="97"/>
        <v>-1.64880071684363+91.9503453298059i</v>
      </c>
      <c r="BJ53" s="64">
        <f t="shared" si="98"/>
        <v>39.27246348103202</v>
      </c>
      <c r="BK53" s="61">
        <f t="shared" si="99"/>
        <v>91.027284876977276</v>
      </c>
      <c r="BL53" s="59" t="str">
        <f t="shared" si="105"/>
        <v>-12.8015894150394+532.460148284839i</v>
      </c>
      <c r="BM53" s="64">
        <f t="shared" si="101"/>
        <v>54.528251821029102</v>
      </c>
      <c r="BN53" s="61">
        <f t="shared" si="106"/>
        <v>91.377259445513403</v>
      </c>
      <c r="BO53" s="50">
        <f t="shared" si="103"/>
        <v>39.27246348103202</v>
      </c>
      <c r="BP53" s="61">
        <f t="shared" si="104"/>
        <v>91.027284876977276</v>
      </c>
    </row>
    <row r="54" spans="1:68" ht="15.75" x14ac:dyDescent="0.25">
      <c r="A54" s="52" t="s">
        <v>189</v>
      </c>
      <c r="N54" s="11">
        <v>36</v>
      </c>
      <c r="O54" s="51">
        <f t="shared" si="63"/>
        <v>22.908676527677727</v>
      </c>
      <c r="P54" s="49" t="str">
        <f t="shared" si="52"/>
        <v>37.1583961085025</v>
      </c>
      <c r="Q54" s="18" t="str">
        <f t="shared" si="64"/>
        <v>1+0.112821176143448i</v>
      </c>
      <c r="R54" s="18">
        <f t="shared" si="65"/>
        <v>1.0063441845543655</v>
      </c>
      <c r="S54" s="18">
        <f t="shared" si="66"/>
        <v>0.11234611316029573</v>
      </c>
      <c r="T54" s="18" t="str">
        <f t="shared" si="53"/>
        <v>1+0.000129545513789072i</v>
      </c>
      <c r="U54" s="18">
        <f t="shared" si="67"/>
        <v>1.0000000083910201</v>
      </c>
      <c r="V54" s="18">
        <f t="shared" si="68"/>
        <v>1.2954551306439268E-4</v>
      </c>
      <c r="W54" s="32" t="str">
        <f t="shared" si="54"/>
        <v>1-0.00113389808799751i</v>
      </c>
      <c r="X54" s="18">
        <f t="shared" si="69"/>
        <v>1.0000006428622303</v>
      </c>
      <c r="Y54" s="18">
        <f t="shared" si="70"/>
        <v>-1.1338976020375596E-3</v>
      </c>
      <c r="Z54" s="32" t="str">
        <f t="shared" si="71"/>
        <v>0.999999986879814+0.000273005175355487i</v>
      </c>
      <c r="AA54" s="18">
        <f t="shared" si="72"/>
        <v>1.0000000241457268</v>
      </c>
      <c r="AB54" s="18">
        <f t="shared" si="73"/>
        <v>2.7300517215484105E-4</v>
      </c>
      <c r="AC54" s="32" t="str">
        <f>IMDIV(IMSUM(COMPLEX(0,2*PI()*O54*Constants!$B$61*Constants!$B$62),COMPLEX(1,0)),IMSUM(COMPLEX(0,2*PI()*O54*Constants!$B$61*Constants!$B$62),COMPLEX(2,0)))</f>
        <v>0.500000041437133+0.000143939447836757i</v>
      </c>
      <c r="AD54" s="18">
        <f t="shared" si="74"/>
        <v>0.50000006215569537</v>
      </c>
      <c r="AE54" s="18">
        <f t="shared" si="75"/>
        <v>2.8787886386318285E-4</v>
      </c>
      <c r="AF54" s="66" t="str">
        <f t="shared" si="76"/>
        <v>18.3436396681348-2.08793472803782i</v>
      </c>
      <c r="AG54" s="64">
        <f t="shared" si="77"/>
        <v>25.325614988505333</v>
      </c>
      <c r="AH54" s="61">
        <f t="shared" si="78"/>
        <v>-6.4936510648667554</v>
      </c>
      <c r="AI54" s="50" t="str">
        <f t="shared" si="55"/>
        <v>107.538871525172</v>
      </c>
      <c r="AJ54" s="50" t="str">
        <f t="shared" si="56"/>
        <v>1+0.107253590961732i</v>
      </c>
      <c r="AK54" s="50">
        <f t="shared" si="79"/>
        <v>1.0057352200127956</v>
      </c>
      <c r="AL54" s="50">
        <f t="shared" si="80"/>
        <v>0.10684514843141391</v>
      </c>
      <c r="AM54" s="50" t="str">
        <f t="shared" si="57"/>
        <v>1+0.000129545513789072i</v>
      </c>
      <c r="AN54" s="50">
        <f t="shared" si="81"/>
        <v>1.0000000083910201</v>
      </c>
      <c r="AO54" s="50">
        <f t="shared" si="82"/>
        <v>1.2954551306439268E-4</v>
      </c>
      <c r="AP54" s="50" t="str">
        <f t="shared" si="58"/>
        <v>1-0.000372465805790681i</v>
      </c>
      <c r="AQ54" s="50">
        <f t="shared" si="83"/>
        <v>1.0000000693653859</v>
      </c>
      <c r="AR54" s="50">
        <f t="shared" si="84"/>
        <v>-3.7246578856652566E-4</v>
      </c>
      <c r="AS54" s="59" t="str">
        <f t="shared" si="85"/>
        <v>106.313119694277-11.4285872276281i</v>
      </c>
      <c r="AT54" s="50">
        <f t="shared" si="86"/>
        <v>40.581636991494562</v>
      </c>
      <c r="AU54" s="61">
        <f t="shared" si="87"/>
        <v>-6.135694373113294</v>
      </c>
      <c r="AV54" s="32" t="str">
        <f t="shared" si="59"/>
        <v>-0.0000333333333333333</v>
      </c>
      <c r="AW54" s="32" t="str">
        <f t="shared" si="60"/>
        <v>6.90909406875046E-06i</v>
      </c>
      <c r="AX54" s="32">
        <f t="shared" si="88"/>
        <v>6.9090940687504599E-6</v>
      </c>
      <c r="AY54" s="32">
        <f t="shared" si="89"/>
        <v>1.5707963267948966</v>
      </c>
      <c r="AZ54" s="32" t="str">
        <f t="shared" si="61"/>
        <v>1+0.00281881442041035i</v>
      </c>
      <c r="BA54" s="32">
        <f t="shared" si="90"/>
        <v>1.0000039728494765</v>
      </c>
      <c r="BB54" s="32">
        <f t="shared" si="91"/>
        <v>2.8188069546141825E-3</v>
      </c>
      <c r="BC54" s="32" t="str">
        <f t="shared" si="62"/>
        <v>1+0.135303092179697i</v>
      </c>
      <c r="BD54" s="32">
        <f t="shared" si="92"/>
        <v>1.0091119495642629</v>
      </c>
      <c r="BE54" s="32">
        <f t="shared" si="93"/>
        <v>0.13448638317740003</v>
      </c>
      <c r="BF54" s="59" t="str">
        <f t="shared" si="94"/>
        <v>-0.639173162053129+4.82636090767183i</v>
      </c>
      <c r="BG54" s="50">
        <f t="shared" si="95"/>
        <v>13.74790526273568</v>
      </c>
      <c r="BH54" s="61">
        <f t="shared" si="96"/>
        <v>97.543996416282667</v>
      </c>
      <c r="BI54" s="59" t="str">
        <f t="shared" si="97"/>
        <v>-1.64763562107278+89.8675772409845i</v>
      </c>
      <c r="BJ54" s="64">
        <f t="shared" si="98"/>
        <v>39.073520251241007</v>
      </c>
      <c r="BK54" s="61">
        <f t="shared" si="99"/>
        <v>91.050345351415913</v>
      </c>
      <c r="BL54" s="59" t="str">
        <f t="shared" si="105"/>
        <v>-12.794006257382+520.410331101178i</v>
      </c>
      <c r="BM54" s="64">
        <f t="shared" si="101"/>
        <v>54.32954225423024</v>
      </c>
      <c r="BN54" s="61">
        <f t="shared" si="106"/>
        <v>91.408302043169371</v>
      </c>
      <c r="BO54" s="50">
        <f t="shared" si="103"/>
        <v>39.073520251241007</v>
      </c>
      <c r="BP54" s="61">
        <f t="shared" si="104"/>
        <v>91.050345351415913</v>
      </c>
    </row>
    <row r="55" spans="1:68" x14ac:dyDescent="0.25">
      <c r="A55" t="s">
        <v>155</v>
      </c>
      <c r="N55" s="11">
        <v>37</v>
      </c>
      <c r="O55" s="51">
        <f t="shared" si="63"/>
        <v>23.442288153199236</v>
      </c>
      <c r="P55" s="49" t="str">
        <f t="shared" si="52"/>
        <v>37.1583961085025</v>
      </c>
      <c r="Q55" s="18" t="str">
        <f t="shared" si="64"/>
        <v>1+0.115449118928463i</v>
      </c>
      <c r="R55" s="18">
        <f t="shared" si="65"/>
        <v>1.0066421901854494</v>
      </c>
      <c r="S55" s="18">
        <f t="shared" si="66"/>
        <v>0.11494026100129805</v>
      </c>
      <c r="T55" s="18" t="str">
        <f t="shared" si="53"/>
        <v>1+0.000132563016441767i</v>
      </c>
      <c r="U55" s="18">
        <f t="shared" si="67"/>
        <v>1.0000000087864767</v>
      </c>
      <c r="V55" s="18">
        <f t="shared" si="68"/>
        <v>1.3256301566525911E-4</v>
      </c>
      <c r="W55" s="32" t="str">
        <f t="shared" si="54"/>
        <v>1-0.0011603099674084i</v>
      </c>
      <c r="X55" s="18">
        <f t="shared" si="69"/>
        <v>1.0000006731593838</v>
      </c>
      <c r="Y55" s="18">
        <f t="shared" si="70"/>
        <v>-1.1603094466929502E-3</v>
      </c>
      <c r="Z55" s="32" t="str">
        <f t="shared" si="71"/>
        <v>0.999999986261478+0.000279364282797649i</v>
      </c>
      <c r="AA55" s="18">
        <f t="shared" si="72"/>
        <v>1.0000000252836792</v>
      </c>
      <c r="AB55" s="18">
        <f t="shared" si="73"/>
        <v>2.7936427936809527E-4</v>
      </c>
      <c r="AC55" s="32" t="str">
        <f>IMDIV(IMSUM(COMPLEX(0,2*PI()*O55*Constants!$B$61*Constants!$B$62),COMPLEX(1,0)),IMSUM(COMPLEX(0,2*PI()*O55*Constants!$B$61*Constants!$B$62),COMPLEX(2,0)))</f>
        <v>0.500000043390004+0.00014729222770883i</v>
      </c>
      <c r="AD55" s="18">
        <f t="shared" si="74"/>
        <v>0.50000006508500205</v>
      </c>
      <c r="AE55" s="18">
        <f t="shared" si="75"/>
        <v>2.9458442133227693E-4</v>
      </c>
      <c r="AF55" s="66" t="str">
        <f t="shared" si="76"/>
        <v>18.3326841638293-2.13530417235498i</v>
      </c>
      <c r="AG55" s="64">
        <f t="shared" si="77"/>
        <v>25.323043550882474</v>
      </c>
      <c r="AH55" s="61">
        <f t="shared" si="78"/>
        <v>-6.6436053345158488</v>
      </c>
      <c r="AI55" s="50" t="str">
        <f t="shared" si="55"/>
        <v>107.538871525172</v>
      </c>
      <c r="AJ55" s="50" t="str">
        <f t="shared" si="56"/>
        <v>1+0.109751848028087i</v>
      </c>
      <c r="AK55" s="50">
        <f t="shared" si="79"/>
        <v>1.0060047058267572</v>
      </c>
      <c r="AL55" s="50">
        <f t="shared" si="80"/>
        <v>0.10931433493531939</v>
      </c>
      <c r="AM55" s="50" t="str">
        <f t="shared" si="57"/>
        <v>1+0.000132563016441767i</v>
      </c>
      <c r="AN55" s="50">
        <f t="shared" si="81"/>
        <v>1.0000000087864767</v>
      </c>
      <c r="AO55" s="50">
        <f t="shared" si="82"/>
        <v>1.3256301566525911E-4</v>
      </c>
      <c r="AP55" s="50" t="str">
        <f t="shared" si="58"/>
        <v>1-0.000381141648929808i</v>
      </c>
      <c r="AQ55" s="50">
        <f t="shared" si="83"/>
        <v>1.0000000726344758</v>
      </c>
      <c r="AR55" s="50">
        <f t="shared" si="84"/>
        <v>-3.8114163047379306E-4</v>
      </c>
      <c r="AS55" s="59" t="str">
        <f t="shared" si="85"/>
        <v>106.256039349688-11.6885285483965i</v>
      </c>
      <c r="AT55" s="50">
        <f t="shared" si="86"/>
        <v>40.579309959052239</v>
      </c>
      <c r="AU55" s="61">
        <f t="shared" si="87"/>
        <v>-6.2774925375790689</v>
      </c>
      <c r="AV55" s="32" t="str">
        <f t="shared" si="59"/>
        <v>-0.0000333333333333333</v>
      </c>
      <c r="AW55" s="32" t="str">
        <f t="shared" si="60"/>
        <v>7.07002754356087E-06i</v>
      </c>
      <c r="AX55" s="32">
        <f t="shared" si="88"/>
        <v>7.0700275435608702E-6</v>
      </c>
      <c r="AY55" s="32">
        <f t="shared" si="89"/>
        <v>1.5707963267948966</v>
      </c>
      <c r="AZ55" s="32" t="str">
        <f t="shared" si="61"/>
        <v>1+0.00288447304294585i</v>
      </c>
      <c r="BA55" s="32">
        <f t="shared" si="90"/>
        <v>1.0000041600837146</v>
      </c>
      <c r="BB55" s="32">
        <f t="shared" si="91"/>
        <v>2.8844650432029249E-3</v>
      </c>
      <c r="BC55" s="32" t="str">
        <f t="shared" si="62"/>
        <v>1+0.138454706061401i</v>
      </c>
      <c r="BD55" s="32">
        <f t="shared" si="92"/>
        <v>1.009539353185674</v>
      </c>
      <c r="BE55" s="32">
        <f t="shared" si="93"/>
        <v>0.13758003258800539</v>
      </c>
      <c r="BF55" s="59" t="str">
        <f t="shared" si="94"/>
        <v>-0.639172922703949+4.71658249922056i</v>
      </c>
      <c r="BG55" s="50">
        <f t="shared" si="95"/>
        <v>13.551581716694166</v>
      </c>
      <c r="BH55" s="61">
        <f t="shared" si="96"/>
        <v>97.717487539436505</v>
      </c>
      <c r="BI55" s="59" t="str">
        <f t="shared" si="97"/>
        <v>-1.64641702816103+87.8324458995612i</v>
      </c>
      <c r="BJ55" s="64">
        <f t="shared" si="98"/>
        <v>38.874625267576633</v>
      </c>
      <c r="BK55" s="61">
        <f t="shared" si="99"/>
        <v>91.07388220492065</v>
      </c>
      <c r="BL55" s="59" t="str">
        <f t="shared" si="105"/>
        <v>-12.7860740330791+508.636366587617i</v>
      </c>
      <c r="BM55" s="64">
        <f t="shared" si="101"/>
        <v>54.130891675746405</v>
      </c>
      <c r="BN55" s="61">
        <f t="shared" si="106"/>
        <v>91.43999500185744</v>
      </c>
      <c r="BO55" s="50">
        <f t="shared" si="103"/>
        <v>38.874625267576633</v>
      </c>
      <c r="BP55" s="61">
        <f t="shared" si="104"/>
        <v>91.07388220492065</v>
      </c>
    </row>
    <row r="56" spans="1:68" x14ac:dyDescent="0.25">
      <c r="A56" t="s">
        <v>153</v>
      </c>
      <c r="B56" s="3">
        <f>RFBT</f>
        <v>290000</v>
      </c>
      <c r="C56" s="2" t="s">
        <v>29</v>
      </c>
      <c r="E56" t="s">
        <v>156</v>
      </c>
      <c r="N56" s="11">
        <v>38</v>
      </c>
      <c r="O56" s="51">
        <f t="shared" si="63"/>
        <v>23.988329190194907</v>
      </c>
      <c r="P56" s="49" t="str">
        <f t="shared" si="52"/>
        <v>37.1583961085025</v>
      </c>
      <c r="Q56" s="18" t="str">
        <f t="shared" si="64"/>
        <v>1+0.118138274364483i</v>
      </c>
      <c r="R56" s="18">
        <f t="shared" si="65"/>
        <v>1.0069541458625699</v>
      </c>
      <c r="S56" s="18">
        <f t="shared" si="66"/>
        <v>0.11759322643968868</v>
      </c>
      <c r="T56" s="18" t="str">
        <f t="shared" si="53"/>
        <v>1+0.000135650805760458i</v>
      </c>
      <c r="U56" s="18">
        <f t="shared" si="67"/>
        <v>1.0000000092005705</v>
      </c>
      <c r="V56" s="18">
        <f t="shared" si="68"/>
        <v>1.3565080492841479E-4</v>
      </c>
      <c r="W56" s="32" t="str">
        <f t="shared" si="54"/>
        <v>1-0.00118733705852252i</v>
      </c>
      <c r="X56" s="18">
        <f t="shared" si="69"/>
        <v>1.0000007048843969</v>
      </c>
      <c r="Y56" s="18">
        <f t="shared" si="70"/>
        <v>-1.1873365005658845E-3</v>
      </c>
      <c r="Z56" s="32" t="str">
        <f t="shared" si="71"/>
        <v>0.999999985614002+0.000285871512880372i</v>
      </c>
      <c r="AA56" s="18">
        <f t="shared" si="72"/>
        <v>1.0000000264752626</v>
      </c>
      <c r="AB56" s="18">
        <f t="shared" si="73"/>
        <v>2.8587150920553878E-4</v>
      </c>
      <c r="AC56" s="32" t="str">
        <f>IMDIV(IMSUM(COMPLEX(0,2*PI()*O56*Constants!$B$61*Constants!$B$62),COMPLEX(1,0)),IMSUM(COMPLEX(0,2*PI()*O56*Constants!$B$61*Constants!$B$62),COMPLEX(2,0)))</f>
        <v>0.500000045434912+0.000150723103815437i</v>
      </c>
      <c r="AD56" s="18">
        <f t="shared" si="74"/>
        <v>0.50000006815236353</v>
      </c>
      <c r="AE56" s="18">
        <f t="shared" si="75"/>
        <v>3.0144617110772844E-4</v>
      </c>
      <c r="AF56" s="66" t="str">
        <f t="shared" si="76"/>
        <v>18.3212262363868-2.18368817632618i</v>
      </c>
      <c r="AG56" s="64">
        <f t="shared" si="77"/>
        <v>25.320352556391793</v>
      </c>
      <c r="AH56" s="61">
        <f t="shared" si="78"/>
        <v>-6.7969603636603173</v>
      </c>
      <c r="AI56" s="50" t="str">
        <f t="shared" si="55"/>
        <v>107.538871525172</v>
      </c>
      <c r="AJ56" s="50" t="str">
        <f t="shared" si="56"/>
        <v>1+0.112308296977003i</v>
      </c>
      <c r="AK56" s="50">
        <f t="shared" si="79"/>
        <v>1.0062868147649928</v>
      </c>
      <c r="AL56" s="50">
        <f t="shared" si="80"/>
        <v>0.11183965129153084</v>
      </c>
      <c r="AM56" s="50" t="str">
        <f t="shared" si="57"/>
        <v>1+0.000135650805760458i</v>
      </c>
      <c r="AN56" s="50">
        <f t="shared" si="81"/>
        <v>1.0000000092005705</v>
      </c>
      <c r="AO56" s="50">
        <f t="shared" si="82"/>
        <v>1.3565080492841479E-4</v>
      </c>
      <c r="AP56" s="50" t="str">
        <f t="shared" si="58"/>
        <v>1-0.000390019578416203i</v>
      </c>
      <c r="AQ56" s="50">
        <f t="shared" si="83"/>
        <v>1.0000000760576329</v>
      </c>
      <c r="AR56" s="50">
        <f t="shared" si="84"/>
        <v>-3.9001955864022676E-4</v>
      </c>
      <c r="AS56" s="59" t="str">
        <f t="shared" si="85"/>
        <v>106.19633439957-11.9540839923787i</v>
      </c>
      <c r="AT56" s="50">
        <f t="shared" si="86"/>
        <v>40.576874592645765</v>
      </c>
      <c r="AU56" s="61">
        <f t="shared" si="87"/>
        <v>-6.4225142572472702</v>
      </c>
      <c r="AV56" s="32" t="str">
        <f t="shared" si="59"/>
        <v>-0.0000333333333333333</v>
      </c>
      <c r="AW56" s="32" t="str">
        <f t="shared" si="60"/>
        <v>7.23470964055775E-06i</v>
      </c>
      <c r="AX56" s="32">
        <f t="shared" si="88"/>
        <v>7.2347096405577498E-6</v>
      </c>
      <c r="AY56" s="32">
        <f t="shared" si="89"/>
        <v>1.5707963267948966</v>
      </c>
      <c r="AZ56" s="32" t="str">
        <f t="shared" si="61"/>
        <v>1+0.00295166105126923i</v>
      </c>
      <c r="BA56" s="32">
        <f t="shared" si="90"/>
        <v>1.0000043561419927</v>
      </c>
      <c r="BB56" s="32">
        <f t="shared" si="91"/>
        <v>2.9516524793922658E-3</v>
      </c>
      <c r="BC56" s="32" t="str">
        <f t="shared" si="62"/>
        <v>1+0.141679730460923i</v>
      </c>
      <c r="BD56" s="32">
        <f t="shared" si="92"/>
        <v>1.0099867058647256</v>
      </c>
      <c r="BE56" s="32">
        <f t="shared" si="93"/>
        <v>0.14074300073649662</v>
      </c>
      <c r="BF56" s="59" t="str">
        <f t="shared" si="94"/>
        <v>-0.639172672074779+4.60930488517666i</v>
      </c>
      <c r="BG56" s="50">
        <f t="shared" si="95"/>
        <v>13.355428100836214</v>
      </c>
      <c r="BH56" s="61">
        <f t="shared" si="96"/>
        <v>97.894862708549397</v>
      </c>
      <c r="BI56" s="59" t="str">
        <f t="shared" si="97"/>
        <v>-1.64514255035512+85.843871400445i</v>
      </c>
      <c r="BJ56" s="64">
        <f t="shared" si="98"/>
        <v>38.675780657228003</v>
      </c>
      <c r="BK56" s="61">
        <f t="shared" si="99"/>
        <v>91.097902344889079</v>
      </c>
      <c r="BL56" s="59" t="str">
        <f t="shared" si="105"/>
        <v>-12.7777770788367+497.132006743407i</v>
      </c>
      <c r="BM56" s="64">
        <f t="shared" si="101"/>
        <v>53.932302693481972</v>
      </c>
      <c r="BN56" s="61">
        <f t="shared" si="106"/>
        <v>91.472348451302139</v>
      </c>
      <c r="BO56" s="50">
        <f t="shared" si="103"/>
        <v>38.675780657228003</v>
      </c>
      <c r="BP56" s="61">
        <f t="shared" si="104"/>
        <v>91.097902344889079</v>
      </c>
    </row>
    <row r="57" spans="1:68" x14ac:dyDescent="0.25">
      <c r="A57" t="s">
        <v>154</v>
      </c>
      <c r="B57" s="3">
        <f>RFBB</f>
        <v>10000</v>
      </c>
      <c r="C57" s="2" t="s">
        <v>29</v>
      </c>
      <c r="E57" t="s">
        <v>157</v>
      </c>
      <c r="N57" s="11">
        <v>39</v>
      </c>
      <c r="O57" s="51">
        <f t="shared" si="63"/>
        <v>24.547089156850316</v>
      </c>
      <c r="P57" s="49" t="str">
        <f t="shared" si="52"/>
        <v>37.1583961085025</v>
      </c>
      <c r="Q57" s="18" t="str">
        <f t="shared" si="64"/>
        <v>1+0.120890068277317i</v>
      </c>
      <c r="R57" s="18">
        <f t="shared" si="65"/>
        <v>1.0072807000077457</v>
      </c>
      <c r="S57" s="18">
        <f t="shared" si="66"/>
        <v>0.12030626665495021</v>
      </c>
      <c r="T57" s="18" t="str">
        <f t="shared" si="53"/>
        <v>1+0.000138810518931914i</v>
      </c>
      <c r="U57" s="18">
        <f t="shared" si="67"/>
        <v>1.0000000096341801</v>
      </c>
      <c r="V57" s="18">
        <f t="shared" si="68"/>
        <v>1.3881051804036365E-4</v>
      </c>
      <c r="W57" s="32" t="str">
        <f t="shared" si="54"/>
        <v>1-0.00121499369146134i</v>
      </c>
      <c r="X57" s="18">
        <f t="shared" si="69"/>
        <v>1.0000007381045628</v>
      </c>
      <c r="Y57" s="18">
        <f t="shared" si="70"/>
        <v>-1.2149930936000573E-3</v>
      </c>
      <c r="Z57" s="32" t="str">
        <f t="shared" si="71"/>
        <v>0.99999998493601+0.000292530315823182i</v>
      </c>
      <c r="AA57" s="18">
        <f t="shared" si="72"/>
        <v>1.0000000277230026</v>
      </c>
      <c r="AB57" s="18">
        <f t="shared" si="73"/>
        <v>2.9253031188552749E-4</v>
      </c>
      <c r="AC57" s="32" t="str">
        <f>IMDIV(IMSUM(COMPLEX(0,2*PI()*O57*Constants!$B$61*Constants!$B$62),COMPLEX(1,0)),IMSUM(COMPLEX(0,2*PI()*O57*Constants!$B$61*Constants!$B$62),COMPLEX(2,0)))</f>
        <v>0.500000047576193+0.000154233895248625i</v>
      </c>
      <c r="AD57" s="18">
        <f t="shared" si="74"/>
        <v>0.50000007136428459</v>
      </c>
      <c r="AE57" s="18">
        <f t="shared" si="75"/>
        <v>3.0846775136199529E-4</v>
      </c>
      <c r="AF57" s="66" t="str">
        <f t="shared" si="76"/>
        <v>18.3092435194753-2.23310421684893i</v>
      </c>
      <c r="AG57" s="64">
        <f t="shared" si="77"/>
        <v>25.317536525655143</v>
      </c>
      <c r="AH57" s="61">
        <f t="shared" si="78"/>
        <v>-6.9537888998509532</v>
      </c>
      <c r="AI57" s="50" t="str">
        <f t="shared" si="55"/>
        <v>107.538871525172</v>
      </c>
      <c r="AJ57" s="50" t="str">
        <f t="shared" si="56"/>
        <v>1+0.114924293271553i</v>
      </c>
      <c r="AK57" s="50">
        <f t="shared" si="79"/>
        <v>1.0065821343457104</v>
      </c>
      <c r="AL57" s="50">
        <f t="shared" si="80"/>
        <v>0.11442230755026535</v>
      </c>
      <c r="AM57" s="50" t="str">
        <f t="shared" si="57"/>
        <v>1+0.000138810518931914i</v>
      </c>
      <c r="AN57" s="50">
        <f t="shared" si="81"/>
        <v>1.0000000096341801</v>
      </c>
      <c r="AO57" s="50">
        <f t="shared" si="82"/>
        <v>1.3881051804036365E-4</v>
      </c>
      <c r="AP57" s="50" t="str">
        <f t="shared" si="58"/>
        <v>1-0.000399104301445594i</v>
      </c>
      <c r="AQ57" s="50">
        <f t="shared" si="83"/>
        <v>1.0000000796421185</v>
      </c>
      <c r="AR57" s="50">
        <f t="shared" si="84"/>
        <v>-3.991042802552538E-4</v>
      </c>
      <c r="AS57" s="59" t="str">
        <f t="shared" si="85"/>
        <v>106.13388734937-12.2253536954256i</v>
      </c>
      <c r="AT57" s="50">
        <f t="shared" si="86"/>
        <v>40.574325913875242</v>
      </c>
      <c r="AU57" s="61">
        <f t="shared" si="87"/>
        <v>-6.570829038786643</v>
      </c>
      <c r="AV57" s="32" t="str">
        <f t="shared" si="59"/>
        <v>-0.0000333333333333333</v>
      </c>
      <c r="AW57" s="32" t="str">
        <f t="shared" si="60"/>
        <v>7.40322767636876E-06i</v>
      </c>
      <c r="AX57" s="32">
        <f t="shared" si="88"/>
        <v>7.4032276763687597E-6</v>
      </c>
      <c r="AY57" s="32">
        <f t="shared" si="89"/>
        <v>1.5707963267948966</v>
      </c>
      <c r="AZ57" s="32" t="str">
        <f t="shared" si="61"/>
        <v>1+0.00302041406935184i</v>
      </c>
      <c r="BA57" s="32">
        <f t="shared" si="90"/>
        <v>1.0000045614401718</v>
      </c>
      <c r="BB57" s="32">
        <f t="shared" si="91"/>
        <v>3.0204048844224532E-3</v>
      </c>
      <c r="BC57" s="32" t="str">
        <f t="shared" si="62"/>
        <v>1+0.144979875328888i</v>
      </c>
      <c r="BD57" s="32">
        <f t="shared" si="92"/>
        <v>1.0104549293513194</v>
      </c>
      <c r="BE57" s="32">
        <f t="shared" si="93"/>
        <v>0.14397671138972687</v>
      </c>
      <c r="BF57" s="59" t="str">
        <f t="shared" si="94"/>
        <v>-0.639172409634029+4.50447118552449i</v>
      </c>
      <c r="BG57" s="50">
        <f t="shared" si="95"/>
        <v>13.159452108377351</v>
      </c>
      <c r="BH57" s="61">
        <f t="shared" si="96"/>
        <v>98.076201458506389</v>
      </c>
      <c r="BI57" s="59" t="str">
        <f t="shared" si="97"/>
        <v>-1.64380969985002+83.9007984654747i</v>
      </c>
      <c r="BJ57" s="64">
        <f t="shared" si="98"/>
        <v>38.476988634032494</v>
      </c>
      <c r="BK57" s="61">
        <f t="shared" si="99"/>
        <v>91.122412558655441</v>
      </c>
      <c r="BL57" s="59" t="str">
        <f t="shared" si="105"/>
        <v>-12.7690990670335+485.891146153073i</v>
      </c>
      <c r="BM57" s="64">
        <f t="shared" si="101"/>
        <v>53.733778022252601</v>
      </c>
      <c r="BN57" s="61">
        <f t="shared" si="106"/>
        <v>91.505372419719748</v>
      </c>
      <c r="BO57" s="50">
        <f t="shared" si="103"/>
        <v>38.476988634032494</v>
      </c>
      <c r="BP57" s="61">
        <f t="shared" si="104"/>
        <v>91.122412558655441</v>
      </c>
    </row>
    <row r="58" spans="1:68" x14ac:dyDescent="0.25">
      <c r="A58" t="s">
        <v>144</v>
      </c>
      <c r="B58" s="3">
        <f>RCOMP</f>
        <v>20000</v>
      </c>
      <c r="C58" s="2" t="s">
        <v>29</v>
      </c>
      <c r="E58" s="32" t="s">
        <v>150</v>
      </c>
      <c r="N58" s="11">
        <v>40</v>
      </c>
      <c r="O58" s="51">
        <f t="shared" si="63"/>
        <v>25.118864315095799</v>
      </c>
      <c r="P58" s="49" t="str">
        <f t="shared" si="52"/>
        <v>37.1583961085025</v>
      </c>
      <c r="Q58" s="18" t="str">
        <f t="shared" si="64"/>
        <v>1+0.123705959704521i</v>
      </c>
      <c r="R58" s="18">
        <f t="shared" si="65"/>
        <v>1.0076225307457236</v>
      </c>
      <c r="S58" s="18">
        <f t="shared" si="66"/>
        <v>0.12308066029446657</v>
      </c>
      <c r="T58" s="18" t="str">
        <f t="shared" si="53"/>
        <v>1+0.000142043831277883i</v>
      </c>
      <c r="U58" s="18">
        <f t="shared" si="67"/>
        <v>1.0000000100882249</v>
      </c>
      <c r="V58" s="18">
        <f t="shared" si="68"/>
        <v>1.4204383032256958E-4</v>
      </c>
      <c r="W58" s="32" t="str">
        <f t="shared" si="54"/>
        <v>1-0.00124329453013772i</v>
      </c>
      <c r="X58" s="18">
        <f t="shared" si="69"/>
        <v>1.0000007728903457</v>
      </c>
      <c r="Y58" s="18">
        <f t="shared" si="70"/>
        <v>-1.2432938895178406E-3</v>
      </c>
      <c r="Z58" s="32" t="str">
        <f t="shared" si="71"/>
        <v>0.999999984226066+0.000299344222211539i</v>
      </c>
      <c r="AA58" s="18">
        <f t="shared" si="72"/>
        <v>1.0000000290295472</v>
      </c>
      <c r="AB58" s="18">
        <f t="shared" si="73"/>
        <v>2.9934421799226622E-4</v>
      </c>
      <c r="AC58" s="32" t="str">
        <f>IMDIV(IMSUM(COMPLEX(0,2*PI()*O58*Constants!$B$61*Constants!$B$62),COMPLEX(1,0)),IMSUM(COMPLEX(0,2*PI()*O58*Constants!$B$61*Constants!$B$62),COMPLEX(2,0)))</f>
        <v>0.50000004981839+0.000157826463472325i</v>
      </c>
      <c r="AD58" s="18">
        <f t="shared" si="74"/>
        <v>0.50000007472757935</v>
      </c>
      <c r="AE58" s="18">
        <f t="shared" si="75"/>
        <v>3.1565288501046956E-4</v>
      </c>
      <c r="AF58" s="66" t="str">
        <f t="shared" si="76"/>
        <v>18.2967127151507-2.28356976112384i</v>
      </c>
      <c r="AG58" s="64">
        <f t="shared" si="77"/>
        <v>25.314589735705621</v>
      </c>
      <c r="AH58" s="61">
        <f t="shared" si="78"/>
        <v>-7.1141649373471356</v>
      </c>
      <c r="AI58" s="50" t="str">
        <f t="shared" si="55"/>
        <v>107.538871525172</v>
      </c>
      <c r="AJ58" s="50" t="str">
        <f t="shared" si="56"/>
        <v>1+0.117601223947599i</v>
      </c>
      <c r="AK58" s="50">
        <f t="shared" si="79"/>
        <v>1.0068912790733533</v>
      </c>
      <c r="AL58" s="50">
        <f t="shared" si="80"/>
        <v>0.11706353518260311</v>
      </c>
      <c r="AM58" s="50" t="str">
        <f t="shared" si="57"/>
        <v>1+0.000142043831277883i</v>
      </c>
      <c r="AN58" s="50">
        <f t="shared" si="81"/>
        <v>1.0000000100882249</v>
      </c>
      <c r="AO58" s="50">
        <f t="shared" si="82"/>
        <v>1.4204383032256958E-4</v>
      </c>
      <c r="AP58" s="50" t="str">
        <f t="shared" si="58"/>
        <v>1-0.000408400634858384i</v>
      </c>
      <c r="AQ58" s="50">
        <f t="shared" si="83"/>
        <v>1.0000000833955358</v>
      </c>
      <c r="AR58" s="50">
        <f t="shared" si="84"/>
        <v>-4.0840061215252551E-4</v>
      </c>
      <c r="AS58" s="59" t="str">
        <f t="shared" si="85"/>
        <v>106.068575747708-12.5024380403892i</v>
      </c>
      <c r="AT58" s="50">
        <f t="shared" si="86"/>
        <v>40.571658721750495</v>
      </c>
      <c r="AU58" s="61">
        <f t="shared" si="87"/>
        <v>-6.7225076202879395</v>
      </c>
      <c r="AV58" s="32" t="str">
        <f t="shared" si="59"/>
        <v>-0.0000333333333333333</v>
      </c>
      <c r="AW58" s="32" t="str">
        <f t="shared" si="60"/>
        <v>7.57567100148708E-06i</v>
      </c>
      <c r="AX58" s="32">
        <f t="shared" si="88"/>
        <v>7.5756710014870798E-6</v>
      </c>
      <c r="AY58" s="32">
        <f t="shared" si="89"/>
        <v>1.5707963267948966</v>
      </c>
      <c r="AZ58" s="32" t="str">
        <f t="shared" si="61"/>
        <v>1+0.00309076855095394i</v>
      </c>
      <c r="BA58" s="32">
        <f t="shared" si="90"/>
        <v>1.0000047764137108</v>
      </c>
      <c r="BB58" s="32">
        <f t="shared" si="91"/>
        <v>3.0907587091273236E-3</v>
      </c>
      <c r="BC58" s="32" t="str">
        <f t="shared" si="62"/>
        <v>1+0.14835689044579i</v>
      </c>
      <c r="BD58" s="32">
        <f t="shared" si="92"/>
        <v>1.0109449871000618</v>
      </c>
      <c r="BE58" s="32">
        <f t="shared" si="93"/>
        <v>0.14728260844632121</v>
      </c>
      <c r="BF58" s="59" t="str">
        <f t="shared" si="94"/>
        <v>-0.639172134825066+4.4020258160439i</v>
      </c>
      <c r="BG58" s="50">
        <f t="shared" si="95"/>
        <v>12.963661765619037</v>
      </c>
      <c r="BH58" s="61">
        <f t="shared" si="96"/>
        <v>98.261584430125708</v>
      </c>
      <c r="BI58" s="59" t="str">
        <f t="shared" si="97"/>
        <v>-1.64241588521946+82.0021958800716i</v>
      </c>
      <c r="BJ58" s="64">
        <f t="shared" si="98"/>
        <v>38.278251501324661</v>
      </c>
      <c r="BK58" s="61">
        <f t="shared" si="99"/>
        <v>91.147419492778582</v>
      </c>
      <c r="BL58" s="59" t="str">
        <f t="shared" si="105"/>
        <v>-12.7600229812342+474.907818725212i</v>
      </c>
      <c r="BM58" s="64">
        <f t="shared" si="101"/>
        <v>53.535320487369525</v>
      </c>
      <c r="BN58" s="61">
        <f t="shared" si="106"/>
        <v>91.539076809837766</v>
      </c>
      <c r="BO58" s="50">
        <f t="shared" si="103"/>
        <v>38.278251501324661</v>
      </c>
      <c r="BP58" s="61">
        <f t="shared" si="104"/>
        <v>91.147419492778582</v>
      </c>
    </row>
    <row r="59" spans="1:68" x14ac:dyDescent="0.25">
      <c r="A59" t="s">
        <v>148</v>
      </c>
      <c r="B59" s="3">
        <f>CCOMP</f>
        <v>4.7000000000000004E-8</v>
      </c>
      <c r="C59" s="2" t="s">
        <v>131</v>
      </c>
      <c r="E59" s="32" t="s">
        <v>151</v>
      </c>
      <c r="N59" s="11">
        <v>41</v>
      </c>
      <c r="O59" s="51">
        <f t="shared" si="63"/>
        <v>25.703957827688647</v>
      </c>
      <c r="P59" s="49" t="str">
        <f t="shared" si="52"/>
        <v>37.1583961085025</v>
      </c>
      <c r="Q59" s="18" t="str">
        <f t="shared" si="64"/>
        <v>1+0.126587441669001i</v>
      </c>
      <c r="R59" s="18">
        <f t="shared" si="65"/>
        <v>1.0079803472232496</v>
      </c>
      <c r="S59" s="18">
        <f t="shared" si="66"/>
        <v>0.12591770744506439</v>
      </c>
      <c r="T59" s="18" t="str">
        <f t="shared" si="53"/>
        <v>1+0.000145352457143367i</v>
      </c>
      <c r="U59" s="18">
        <f t="shared" si="67"/>
        <v>1.0000000105636684</v>
      </c>
      <c r="V59" s="18">
        <f t="shared" si="68"/>
        <v>1.4535245611973024E-4</v>
      </c>
      <c r="W59" s="32" t="str">
        <f t="shared" si="54"/>
        <v>1-0.00127225458003092i</v>
      </c>
      <c r="X59" s="18">
        <f t="shared" si="69"/>
        <v>1.0000008093155308</v>
      </c>
      <c r="Y59" s="18">
        <f t="shared" si="70"/>
        <v>-1.2722538935943817E-3</v>
      </c>
      <c r="Z59" s="32" t="str">
        <f t="shared" si="71"/>
        <v>0.999999983482664+0.0003063168448688i</v>
      </c>
      <c r="AA59" s="18">
        <f t="shared" si="72"/>
        <v>1.0000000303976684</v>
      </c>
      <c r="AB59" s="18">
        <f t="shared" si="73"/>
        <v>3.0631684034776755E-4</v>
      </c>
      <c r="AC59" s="32" t="str">
        <f>IMDIV(IMSUM(COMPLEX(0,2*PI()*O59*Constants!$B$61*Constants!$B$62),COMPLEX(1,0)),IMSUM(COMPLEX(0,2*PI()*O59*Constants!$B$61*Constants!$B$62),COMPLEX(2,0)))</f>
        <v>0.500000052166258+0.000161502713309311i</v>
      </c>
      <c r="AD59" s="18">
        <f t="shared" si="74"/>
        <v>0.50000007824938097</v>
      </c>
      <c r="AE59" s="18">
        <f t="shared" si="75"/>
        <v>3.2300538168533911E-4</v>
      </c>
      <c r="AF59" s="66" t="str">
        <f t="shared" si="76"/>
        <v>18.2836095611744-2.33510223937891i</v>
      </c>
      <c r="AG59" s="64">
        <f t="shared" si="77"/>
        <v>25.311506209873325</v>
      </c>
      <c r="AH59" s="61">
        <f t="shared" si="78"/>
        <v>-7.2781637158748245</v>
      </c>
      <c r="AI59" s="50" t="str">
        <f t="shared" si="55"/>
        <v>107.538871525172</v>
      </c>
      <c r="AJ59" s="50" t="str">
        <f t="shared" si="56"/>
        <v>1+0.120340508349217i</v>
      </c>
      <c r="AK59" s="50">
        <f t="shared" si="79"/>
        <v>1.0072148916441555</v>
      </c>
      <c r="AL59" s="50">
        <f t="shared" si="80"/>
        <v>0.11976458711946221</v>
      </c>
      <c r="AM59" s="50" t="str">
        <f t="shared" si="57"/>
        <v>1+0.000145352457143367i</v>
      </c>
      <c r="AN59" s="50">
        <f t="shared" si="81"/>
        <v>1.0000000105636684</v>
      </c>
      <c r="AO59" s="50">
        <f t="shared" si="82"/>
        <v>1.4535245611973024E-4</v>
      </c>
      <c r="AP59" s="50" t="str">
        <f t="shared" si="58"/>
        <v>1-0.000417913507693594i</v>
      </c>
      <c r="AQ59" s="50">
        <f t="shared" si="83"/>
        <v>1.0000000873258461</v>
      </c>
      <c r="AR59" s="50">
        <f t="shared" si="84"/>
        <v>-4.1791348336382836E-4</v>
      </c>
      <c r="AS59" s="59" t="str">
        <f t="shared" si="85"/>
        <v>106.000272006226-12.7854375261824i</v>
      </c>
      <c r="AT59" s="50">
        <f t="shared" si="86"/>
        <v>40.56886758332616</v>
      </c>
      <c r="AU59" s="61">
        <f t="shared" si="87"/>
        <v>-6.8776219735928832</v>
      </c>
      <c r="AV59" s="32" t="str">
        <f t="shared" si="59"/>
        <v>-0.0000333333333333333</v>
      </c>
      <c r="AW59" s="32" t="str">
        <f t="shared" si="60"/>
        <v>7.75213104764626E-06i</v>
      </c>
      <c r="AX59" s="32">
        <f t="shared" si="88"/>
        <v>7.7521310476462602E-6</v>
      </c>
      <c r="AY59" s="32">
        <f t="shared" si="89"/>
        <v>1.5707963267948966</v>
      </c>
      <c r="AZ59" s="32" t="str">
        <f t="shared" si="61"/>
        <v>1+0.0031627617989529i</v>
      </c>
      <c r="BA59" s="32">
        <f t="shared" si="90"/>
        <v>1.0000050015185908</v>
      </c>
      <c r="BB59" s="32">
        <f t="shared" si="91"/>
        <v>3.1627512532485303E-3</v>
      </c>
      <c r="BC59" s="32" t="str">
        <f t="shared" si="62"/>
        <v>1+0.15181256634974i</v>
      </c>
      <c r="BD59" s="32">
        <f t="shared" si="92"/>
        <v>1.0114578860742023</v>
      </c>
      <c r="BE59" s="32">
        <f t="shared" si="93"/>
        <v>0.15066215554639753</v>
      </c>
      <c r="BF59" s="59" t="str">
        <f t="shared" si="94"/>
        <v>-0.639171847065003+4.30191445883856i</v>
      </c>
      <c r="BG59" s="50">
        <f t="shared" si="95"/>
        <v>12.768065444936816</v>
      </c>
      <c r="BH59" s="61">
        <f t="shared" si="96"/>
        <v>98.451093346691252</v>
      </c>
      <c r="BI59" s="59" t="str">
        <f t="shared" si="97"/>
        <v>-1.64095840778076+80.1470559424045i</v>
      </c>
      <c r="BJ59" s="64">
        <f t="shared" si="98"/>
        <v>38.079571654810138</v>
      </c>
      <c r="BK59" s="61">
        <f t="shared" si="99"/>
        <v>91.172929630816427</v>
      </c>
      <c r="BL59" s="59" t="str">
        <f t="shared" si="105"/>
        <v>-12.750531091151+464.176194503548i</v>
      </c>
      <c r="BM59" s="64">
        <f t="shared" si="101"/>
        <v>53.336933028262969</v>
      </c>
      <c r="BN59" s="61">
        <f t="shared" si="106"/>
        <v>91.573471373098371</v>
      </c>
      <c r="BO59" s="50">
        <f t="shared" si="103"/>
        <v>38.079571654810138</v>
      </c>
      <c r="BP59" s="61">
        <f t="shared" si="104"/>
        <v>91.172929630816427</v>
      </c>
    </row>
    <row r="60" spans="1:68" x14ac:dyDescent="0.25">
      <c r="A60" t="s">
        <v>149</v>
      </c>
      <c r="B60" s="3">
        <f>CHF</f>
        <v>1.0000000000000001E-9</v>
      </c>
      <c r="C60" s="2" t="s">
        <v>131</v>
      </c>
      <c r="E60" s="32" t="s">
        <v>152</v>
      </c>
      <c r="N60" s="11">
        <v>42</v>
      </c>
      <c r="O60" s="51">
        <f t="shared" si="63"/>
        <v>26.302679918953825</v>
      </c>
      <c r="P60" s="49" t="str">
        <f t="shared" si="52"/>
        <v>37.1583961085025</v>
      </c>
      <c r="Q60" s="18" t="str">
        <f t="shared" si="64"/>
        <v>1+0.129536041970637i</v>
      </c>
      <c r="R60" s="18">
        <f t="shared" si="65"/>
        <v>1.00835489098304</v>
      </c>
      <c r="S60" s="18">
        <f t="shared" si="66"/>
        <v>0.12881872956967572</v>
      </c>
      <c r="T60" s="18" t="str">
        <f t="shared" si="53"/>
        <v>1+0.000148738150805596i</v>
      </c>
      <c r="U60" s="18">
        <f t="shared" si="67"/>
        <v>1.0000000110615186</v>
      </c>
      <c r="V60" s="18">
        <f t="shared" si="68"/>
        <v>1.4873814970874945E-4</v>
      </c>
      <c r="W60" s="32" t="str">
        <f t="shared" si="54"/>
        <v>1-0.00130188919614273i</v>
      </c>
      <c r="X60" s="18">
        <f t="shared" si="69"/>
        <v>1.0000008474573805</v>
      </c>
      <c r="Y60" s="18">
        <f t="shared" si="70"/>
        <v>-1.3018884606127612E-3</v>
      </c>
      <c r="Z60" s="32" t="str">
        <f t="shared" si="71"/>
        <v>0.999999982704226+0.000313451880771793i</v>
      </c>
      <c r="AA60" s="18">
        <f t="shared" si="72"/>
        <v>1.0000000318302664</v>
      </c>
      <c r="AB60" s="18">
        <f t="shared" si="73"/>
        <v>3.1345187592741943E-4</v>
      </c>
      <c r="AC60" s="32" t="str">
        <f>IMDIV(IMSUM(COMPLEX(0,2*PI()*O60*Constants!$B$61*Constants!$B$62),COMPLEX(1,0)),IMSUM(COMPLEX(0,2*PI()*O60*Constants!$B$61*Constants!$B$62),COMPLEX(2,0)))</f>
        <v>0.500000054624778+0.000165264593951133i</v>
      </c>
      <c r="AD60" s="18">
        <f t="shared" si="74"/>
        <v>0.50000008193716028</v>
      </c>
      <c r="AE60" s="18">
        <f t="shared" si="75"/>
        <v>3.305291397553866E-4</v>
      </c>
      <c r="AF60" s="66" t="str">
        <f t="shared" si="76"/>
        <v>18.2699087977904-2.38771901534374i</v>
      </c>
      <c r="AG60" s="64">
        <f t="shared" si="77"/>
        <v>25.308279707320253</v>
      </c>
      <c r="AH60" s="61">
        <f t="shared" si="78"/>
        <v>-7.4458617173955428</v>
      </c>
      <c r="AI60" s="50" t="str">
        <f t="shared" si="55"/>
        <v>107.538871525172</v>
      </c>
      <c r="AJ60" s="50" t="str">
        <f t="shared" si="56"/>
        <v>1+0.123143598881257i</v>
      </c>
      <c r="AK60" s="50">
        <f t="shared" si="79"/>
        <v>1.0075536442023461</v>
      </c>
      <c r="AL60" s="50">
        <f t="shared" si="80"/>
        <v>0.12252673776140183</v>
      </c>
      <c r="AM60" s="50" t="str">
        <f t="shared" si="57"/>
        <v>1+0.000148738150805596i</v>
      </c>
      <c r="AN60" s="50">
        <f t="shared" si="81"/>
        <v>1.0000000110615186</v>
      </c>
      <c r="AO60" s="50">
        <f t="shared" si="82"/>
        <v>1.4873814970874945E-4</v>
      </c>
      <c r="AP60" s="50" t="str">
        <f t="shared" si="58"/>
        <v>1-0.000427647963802323i</v>
      </c>
      <c r="AQ60" s="50">
        <f t="shared" si="83"/>
        <v>1.0000000914413862</v>
      </c>
      <c r="AR60" s="50">
        <f t="shared" si="84"/>
        <v>-4.2764793773250961E-4</v>
      </c>
      <c r="AS60" s="59" t="str">
        <f t="shared" si="85"/>
        <v>105.928843215756-13.0744526254636i</v>
      </c>
      <c r="AT60" s="50">
        <f t="shared" si="86"/>
        <v>40.565946824000115</v>
      </c>
      <c r="AU60" s="61">
        <f t="shared" si="87"/>
        <v>-7.0362453049531961</v>
      </c>
      <c r="AV60" s="32" t="str">
        <f t="shared" si="59"/>
        <v>-0.0000333333333333333</v>
      </c>
      <c r="AW60" s="32" t="str">
        <f t="shared" si="60"/>
        <v>7.93270137629848E-06i</v>
      </c>
      <c r="AX60" s="32">
        <f t="shared" si="88"/>
        <v>7.9327013762984802E-6</v>
      </c>
      <c r="AY60" s="32">
        <f t="shared" si="89"/>
        <v>1.5707963267948966</v>
      </c>
      <c r="AZ60" s="32" t="str">
        <f t="shared" si="61"/>
        <v>1+0.00323643198512177i</v>
      </c>
      <c r="BA60" s="32">
        <f t="shared" si="90"/>
        <v>1.000005237232283</v>
      </c>
      <c r="BB60" s="32">
        <f t="shared" si="91"/>
        <v>3.2364206851991468E-3</v>
      </c>
      <c r="BC60" s="32" t="str">
        <f t="shared" si="62"/>
        <v>1+0.155348735285845i</v>
      </c>
      <c r="BD60" s="32">
        <f t="shared" si="92"/>
        <v>1.0119946786198588</v>
      </c>
      <c r="BE60" s="32">
        <f t="shared" si="93"/>
        <v>0.15411683561919728</v>
      </c>
      <c r="BF60" s="59" t="str">
        <f t="shared" si="94"/>
        <v>-0.639171545743499+4.20408403353606i</v>
      </c>
      <c r="BG60" s="50">
        <f t="shared" si="95"/>
        <v>12.572671878139223</v>
      </c>
      <c r="BH60" s="61">
        <f t="shared" si="96"/>
        <v>98.644810986900737</v>
      </c>
      <c r="BI60" s="59" t="str">
        <f t="shared" si="97"/>
        <v>-1.63943445789938+78.334393924789i</v>
      </c>
      <c r="BJ60" s="64">
        <f t="shared" si="98"/>
        <v>37.880951585459478</v>
      </c>
      <c r="BK60" s="61">
        <f t="shared" si="99"/>
        <v>91.198949269505178</v>
      </c>
      <c r="BL60" s="59" t="str">
        <f t="shared" si="105"/>
        <v>-12.7406049271004+453.690576548672i</v>
      </c>
      <c r="BM60" s="64">
        <f t="shared" si="101"/>
        <v>53.13861870213934</v>
      </c>
      <c r="BN60" s="61">
        <f t="shared" si="106"/>
        <v>91.608565681947539</v>
      </c>
      <c r="BO60" s="50">
        <f t="shared" si="103"/>
        <v>37.880951585459478</v>
      </c>
      <c r="BP60" s="61">
        <f t="shared" si="104"/>
        <v>91.198949269505178</v>
      </c>
    </row>
    <row r="61" spans="1:68" x14ac:dyDescent="0.25">
      <c r="N61" s="11">
        <v>43</v>
      </c>
      <c r="O61" s="51">
        <f t="shared" si="63"/>
        <v>26.915348039269158</v>
      </c>
      <c r="P61" s="49" t="str">
        <f t="shared" si="52"/>
        <v>37.1583961085025</v>
      </c>
      <c r="Q61" s="18" t="str">
        <f t="shared" si="64"/>
        <v>1+0.132553323996339i</v>
      </c>
      <c r="R61" s="18">
        <f t="shared" si="65"/>
        <v>1.0087469373943487</v>
      </c>
      <c r="S61" s="18">
        <f t="shared" si="66"/>
        <v>0.13178506940626827</v>
      </c>
      <c r="T61" s="18" t="str">
        <f t="shared" si="53"/>
        <v>1+0.000152202707404165i</v>
      </c>
      <c r="U61" s="18">
        <f t="shared" si="67"/>
        <v>1.000000011582832</v>
      </c>
      <c r="V61" s="18">
        <f t="shared" si="68"/>
        <v>1.5220270622887274E-4</v>
      </c>
      <c r="W61" s="32" t="str">
        <f t="shared" si="54"/>
        <v>1-0.00133221409113888i</v>
      </c>
      <c r="X61" s="18">
        <f t="shared" si="69"/>
        <v>1.0000008873967985</v>
      </c>
      <c r="Y61" s="18">
        <f t="shared" si="70"/>
        <v>-1.3322133030043567E-3</v>
      </c>
      <c r="Z61" s="32" t="str">
        <f t="shared" si="71"/>
        <v>0.999999981889101+0.000320753113010999i</v>
      </c>
      <c r="AA61" s="18">
        <f t="shared" si="72"/>
        <v>1.0000000333303805</v>
      </c>
      <c r="AB61" s="18">
        <f t="shared" si="73"/>
        <v>3.2075310782015933E-4</v>
      </c>
      <c r="AC61" s="32" t="str">
        <f>IMDIV(IMSUM(COMPLEX(0,2*PI()*O61*Constants!$B$61*Constants!$B$62),COMPLEX(1,0)),IMSUM(COMPLEX(0,2*PI()*O61*Constants!$B$61*Constants!$B$62),COMPLEX(2,0)))</f>
        <v>0.500000057199164+0.000169114099991588i</v>
      </c>
      <c r="AD61" s="18">
        <f t="shared" si="74"/>
        <v>0.50000008579873867</v>
      </c>
      <c r="AE61" s="18">
        <f t="shared" si="75"/>
        <v>3.382281483928665E-4</v>
      </c>
      <c r="AF61" s="66" t="str">
        <f t="shared" si="76"/>
        <v>18.2555841340176-2.441437354341i</v>
      </c>
      <c r="AG61" s="64">
        <f t="shared" si="77"/>
        <v>25.304903712217271</v>
      </c>
      <c r="AH61" s="61">
        <f t="shared" si="78"/>
        <v>-7.6173366607221151</v>
      </c>
      <c r="AI61" s="50" t="str">
        <f t="shared" si="55"/>
        <v>107.538871525172</v>
      </c>
      <c r="AJ61" s="50" t="str">
        <f t="shared" si="56"/>
        <v>1+0.126011981779423i</v>
      </c>
      <c r="AK61" s="50">
        <f t="shared" si="79"/>
        <v>1.0079082396488173</v>
      </c>
      <c r="AL61" s="50">
        <f t="shared" si="80"/>
        <v>0.12535128295673595</v>
      </c>
      <c r="AM61" s="50" t="str">
        <f t="shared" si="57"/>
        <v>1+0.000152202707404165i</v>
      </c>
      <c r="AN61" s="50">
        <f t="shared" si="81"/>
        <v>1.000000011582832</v>
      </c>
      <c r="AO61" s="50">
        <f t="shared" si="82"/>
        <v>1.5220270622887274E-4</v>
      </c>
      <c r="AP61" s="50" t="str">
        <f t="shared" si="58"/>
        <v>1-0.000437609164522052i</v>
      </c>
      <c r="AQ61" s="50">
        <f t="shared" si="83"/>
        <v>1.0000000957508859</v>
      </c>
      <c r="AR61" s="50">
        <f t="shared" si="84"/>
        <v>-4.3760913658774376E-4</v>
      </c>
      <c r="AS61" s="59" t="str">
        <f t="shared" si="85"/>
        <v>105.854150959018-13.3695836302485i</v>
      </c>
      <c r="AT61" s="50">
        <f t="shared" si="86"/>
        <v>40.562890517466784</v>
      </c>
      <c r="AU61" s="61">
        <f t="shared" si="87"/>
        <v>-7.1984520538765819</v>
      </c>
      <c r="AV61" s="32" t="str">
        <f t="shared" si="59"/>
        <v>-0.0000333333333333333</v>
      </c>
      <c r="AW61" s="32" t="str">
        <f t="shared" si="60"/>
        <v>8.11747772822212E-06i</v>
      </c>
      <c r="AX61" s="32">
        <f t="shared" si="88"/>
        <v>8.1174777282221195E-6</v>
      </c>
      <c r="AY61" s="32">
        <f t="shared" si="89"/>
        <v>1.5707963267948966</v>
      </c>
      <c r="AZ61" s="32" t="str">
        <f t="shared" si="61"/>
        <v>1+0.00331181817036841i</v>
      </c>
      <c r="BA61" s="32">
        <f t="shared" si="90"/>
        <v>1.0000054840547594</v>
      </c>
      <c r="BB61" s="32">
        <f t="shared" si="91"/>
        <v>3.3118060622867583E-3</v>
      </c>
      <c r="BC61" s="32" t="str">
        <f t="shared" si="62"/>
        <v>1+0.158967272177684i</v>
      </c>
      <c r="BD61" s="32">
        <f t="shared" si="92"/>
        <v>1.0125564644125353</v>
      </c>
      <c r="BE61" s="32">
        <f t="shared" si="93"/>
        <v>0.15764815036430371</v>
      </c>
      <c r="BF61" s="59" t="str">
        <f t="shared" si="94"/>
        <v>-0.639171230221466+4.10848266914386i</v>
      </c>
      <c r="BG61" s="50">
        <f t="shared" si="95"/>
        <v>12.377490170192811</v>
      </c>
      <c r="BH61" s="61">
        <f t="shared" si="96"/>
        <v>98.842821153983522</v>
      </c>
      <c r="BI61" s="59" t="str">
        <f t="shared" si="97"/>
        <v>-1.63784111124107+76.5632475469917i</v>
      </c>
      <c r="BJ61" s="64">
        <f t="shared" si="98"/>
        <v>37.682393882410082</v>
      </c>
      <c r="BK61" s="61">
        <f t="shared" si="99"/>
        <v>91.225484493261405</v>
      </c>
      <c r="BL61" s="59" t="str">
        <f t="shared" si="105"/>
        <v>-12.7302252539789+443.445397888558i</v>
      </c>
      <c r="BM61" s="64">
        <f t="shared" si="101"/>
        <v>52.940380687659584</v>
      </c>
      <c r="BN61" s="61">
        <f t="shared" si="106"/>
        <v>91.644369100106942</v>
      </c>
      <c r="BO61" s="50">
        <f t="shared" si="103"/>
        <v>37.682393882410082</v>
      </c>
      <c r="BP61" s="61">
        <f t="shared" si="104"/>
        <v>91.225484493261405</v>
      </c>
    </row>
    <row r="62" spans="1:68" x14ac:dyDescent="0.25">
      <c r="A62" t="s">
        <v>191</v>
      </c>
      <c r="B62" s="1">
        <f>(-gm_ea)/Kfb</f>
        <v>-3.3333333333333335E-5</v>
      </c>
      <c r="C62" t="s">
        <v>121</v>
      </c>
      <c r="N62" s="11">
        <v>44</v>
      </c>
      <c r="O62" s="51">
        <f t="shared" si="63"/>
        <v>27.542287033381665</v>
      </c>
      <c r="P62" s="49" t="str">
        <f t="shared" si="52"/>
        <v>37.1583961085025</v>
      </c>
      <c r="Q62" s="18" t="str">
        <f t="shared" si="64"/>
        <v>1+0.135640887548974i</v>
      </c>
      <c r="R62" s="18">
        <f t="shared" si="65"/>
        <v>1.0091572971420626</v>
      </c>
      <c r="S62" s="18">
        <f t="shared" si="66"/>
        <v>0.13481809082604276</v>
      </c>
      <c r="T62" s="18" t="str">
        <f t="shared" si="53"/>
        <v>1+0.00015574796389284i</v>
      </c>
      <c r="U62" s="18">
        <f t="shared" si="67"/>
        <v>1.000000012128714</v>
      </c>
      <c r="V62" s="18">
        <f t="shared" si="68"/>
        <v>1.5574796263349166E-4</v>
      </c>
      <c r="W62" s="32" t="str">
        <f t="shared" si="54"/>
        <v>1-0.00136324534368009i</v>
      </c>
      <c r="X62" s="18">
        <f t="shared" si="69"/>
        <v>1.0000009292185019</v>
      </c>
      <c r="Y62" s="18">
        <f t="shared" si="70"/>
        <v>-1.3632444991787754E-3</v>
      </c>
      <c r="Z62" s="32" t="str">
        <f t="shared" si="71"/>
        <v>0.999999981035561+0.000328224412796393i</v>
      </c>
      <c r="AA62" s="18">
        <f t="shared" si="72"/>
        <v>1.000000034901193</v>
      </c>
      <c r="AB62" s="18">
        <f t="shared" si="73"/>
        <v>3.2822440723430797E-4</v>
      </c>
      <c r="AC62" s="32" t="str">
        <f>IMDIV(IMSUM(COMPLEX(0,2*PI()*O62*Constants!$B$61*Constants!$B$62),COMPLEX(1,0)),IMSUM(COMPLEX(0,2*PI()*O62*Constants!$B$61*Constants!$B$62),COMPLEX(2,0)))</f>
        <v>0.500000059894877+0.000173053272484255i</v>
      </c>
      <c r="AD62" s="18">
        <f t="shared" si="74"/>
        <v>0.50000008984230748</v>
      </c>
      <c r="AE62" s="18">
        <f t="shared" si="75"/>
        <v>3.4610648968849868E-4</v>
      </c>
      <c r="AF62" s="66" t="str">
        <f t="shared" si="76"/>
        <v>18.2406082135283-2.49627438885951i</v>
      </c>
      <c r="AG62" s="64">
        <f t="shared" si="77"/>
        <v>25.301371422559793</v>
      </c>
      <c r="AH62" s="61">
        <f t="shared" si="78"/>
        <v>-7.7926674938108356</v>
      </c>
      <c r="AI62" s="50" t="str">
        <f t="shared" si="55"/>
        <v>107.538871525172</v>
      </c>
      <c r="AJ62" s="50" t="str">
        <f t="shared" si="56"/>
        <v>1+0.128947177898294i</v>
      </c>
      <c r="AK62" s="50">
        <f t="shared" si="79"/>
        <v>1.0082794130041206</v>
      </c>
      <c r="AL62" s="50">
        <f t="shared" si="80"/>
        <v>0.12823953994531445</v>
      </c>
      <c r="AM62" s="50" t="str">
        <f t="shared" si="57"/>
        <v>1+0.00015574796389284i</v>
      </c>
      <c r="AN62" s="50">
        <f t="shared" si="81"/>
        <v>1.000000012128714</v>
      </c>
      <c r="AO62" s="50">
        <f t="shared" si="82"/>
        <v>1.5574796263349166E-4</v>
      </c>
      <c r="AP62" s="50" t="str">
        <f t="shared" si="58"/>
        <v>1-0.000447802391413252i</v>
      </c>
      <c r="AQ62" s="50">
        <f t="shared" si="83"/>
        <v>1.0000001002634857</v>
      </c>
      <c r="AR62" s="50">
        <f t="shared" si="84"/>
        <v>-4.4780236148110158E-4</v>
      </c>
      <c r="AS62" s="59" t="str">
        <f t="shared" si="85"/>
        <v>105.776051120147-13.6709304847281i</v>
      </c>
      <c r="AT62" s="50">
        <f t="shared" si="86"/>
        <v>40.559692475320304</v>
      </c>
      <c r="AU62" s="61">
        <f t="shared" si="87"/>
        <v>-7.3643178900080439</v>
      </c>
      <c r="AV62" s="32" t="str">
        <f t="shared" si="59"/>
        <v>-0.0000333333333333333</v>
      </c>
      <c r="AW62" s="32" t="str">
        <f t="shared" si="60"/>
        <v>8.30655807428479E-06i</v>
      </c>
      <c r="AX62" s="32">
        <f t="shared" si="88"/>
        <v>8.3065580742847907E-6</v>
      </c>
      <c r="AY62" s="32">
        <f t="shared" si="89"/>
        <v>1.5707963267948966</v>
      </c>
      <c r="AZ62" s="32" t="str">
        <f t="shared" si="61"/>
        <v>1+0.00338896032544606i</v>
      </c>
      <c r="BA62" s="32">
        <f t="shared" si="90"/>
        <v>1.0000057425095554</v>
      </c>
      <c r="BB62" s="32">
        <f t="shared" si="91"/>
        <v>3.3889473514068444E-3</v>
      </c>
      <c r="BC62" s="32" t="str">
        <f t="shared" si="62"/>
        <v>1+0.162670095621411i</v>
      </c>
      <c r="BD62" s="32">
        <f t="shared" si="92"/>
        <v>1.0131443924779326</v>
      </c>
      <c r="BE62" s="32">
        <f t="shared" si="93"/>
        <v>0.16125761966197563</v>
      </c>
      <c r="BF62" s="59" t="str">
        <f t="shared" si="94"/>
        <v>-0.639170899829666+4.0150596765465i</v>
      </c>
      <c r="BG62" s="50">
        <f t="shared" si="95"/>
        <v>12.182529813308978</v>
      </c>
      <c r="BH62" s="61">
        <f t="shared" si="96"/>
        <v>99.045208640729413</v>
      </c>
      <c r="BI62" s="59" t="str">
        <f t="shared" si="97"/>
        <v>-1.63617532497571+74.8326764611694i</v>
      </c>
      <c r="BJ62" s="64">
        <f t="shared" si="98"/>
        <v>37.483901235868757</v>
      </c>
      <c r="BK62" s="61">
        <f t="shared" si="99"/>
        <v>91.252541146918574</v>
      </c>
      <c r="BL62" s="59" t="str">
        <f t="shared" si="105"/>
        <v>-12.719372044791+433.435218536256i</v>
      </c>
      <c r="BM62" s="64">
        <f t="shared" si="101"/>
        <v>52.742222288629286</v>
      </c>
      <c r="BN62" s="61">
        <f t="shared" si="106"/>
        <v>91.68089075072136</v>
      </c>
      <c r="BO62" s="50">
        <f t="shared" si="103"/>
        <v>37.483901235868757</v>
      </c>
      <c r="BP62" s="61">
        <f t="shared" si="104"/>
        <v>91.252541146918574</v>
      </c>
    </row>
    <row r="63" spans="1:68" x14ac:dyDescent="0.25">
      <c r="A63" t="s">
        <v>190</v>
      </c>
      <c r="B63" s="1">
        <f>1/(RCOMP*CCOMP)</f>
        <v>1063.8297872340424</v>
      </c>
      <c r="E63" t="s">
        <v>204</v>
      </c>
      <c r="N63" s="11">
        <v>45</v>
      </c>
      <c r="O63" s="51">
        <f t="shared" si="63"/>
        <v>28.183829312644548</v>
      </c>
      <c r="P63" s="49" t="str">
        <f t="shared" si="52"/>
        <v>37.1583961085025</v>
      </c>
      <c r="Q63" s="18" t="str">
        <f t="shared" si="64"/>
        <v>1+0.138800369695607i</v>
      </c>
      <c r="R63" s="18">
        <f t="shared" si="65"/>
        <v>1.0095868177762808</v>
      </c>
      <c r="S63" s="18">
        <f t="shared" si="66"/>
        <v>0.13791917864771933</v>
      </c>
      <c r="T63" s="18" t="str">
        <f t="shared" si="53"/>
        <v>1+0.00015937580001354i</v>
      </c>
      <c r="U63" s="18">
        <f t="shared" si="67"/>
        <v>1.0000000127003228</v>
      </c>
      <c r="V63" s="18">
        <f t="shared" si="68"/>
        <v>1.5937579866412394E-4</v>
      </c>
      <c r="W63" s="32" t="str">
        <f t="shared" si="54"/>
        <v>1-0.00139499940694721i</v>
      </c>
      <c r="X63" s="18">
        <f t="shared" si="69"/>
        <v>1.0000009730111994</v>
      </c>
      <c r="Y63" s="18">
        <f t="shared" si="70"/>
        <v>-1.3949985020477956E-3</v>
      </c>
      <c r="Z63" s="32" t="str">
        <f t="shared" si="71"/>
        <v>0.999999980141794+0.000335869741510014i</v>
      </c>
      <c r="AA63" s="18">
        <f t="shared" si="72"/>
        <v>1.0000000365460351</v>
      </c>
      <c r="AB63" s="18">
        <f t="shared" si="73"/>
        <v>3.3586973555013272E-4</v>
      </c>
      <c r="AC63" s="32" t="str">
        <f>IMDIV(IMSUM(COMPLEX(0,2*PI()*O63*Constants!$B$61*Constants!$B$62),COMPLEX(1,0)),IMSUM(COMPLEX(0,2*PI()*O63*Constants!$B$61*Constants!$B$62),COMPLEX(2,0)))</f>
        <v>0.500000062717636+0.000177084200024658i</v>
      </c>
      <c r="AD63" s="18">
        <f t="shared" si="74"/>
        <v>0.50000009407644497</v>
      </c>
      <c r="AE63" s="18">
        <f t="shared" si="75"/>
        <v>3.5416834081571742E-4</v>
      </c>
      <c r="AF63" s="66" t="str">
        <f t="shared" si="76"/>
        <v>18.2249525801894-2.55224708146705i</v>
      </c>
      <c r="AG63" s="64">
        <f t="shared" si="77"/>
        <v>25.297675738617276</v>
      </c>
      <c r="AH63" s="61">
        <f t="shared" si="78"/>
        <v>-7.9719343835468788</v>
      </c>
      <c r="AI63" s="50" t="str">
        <f t="shared" si="55"/>
        <v>107.538871525172</v>
      </c>
      <c r="AJ63" s="50" t="str">
        <f t="shared" si="56"/>
        <v>1+0.131950743517704i</v>
      </c>
      <c r="AK63" s="50">
        <f t="shared" si="79"/>
        <v>1.0086679328276849</v>
      </c>
      <c r="AL63" s="50">
        <f t="shared" si="80"/>
        <v>0.13119284726515856</v>
      </c>
      <c r="AM63" s="50" t="str">
        <f t="shared" si="57"/>
        <v>1+0.00015937580001354i</v>
      </c>
      <c r="AN63" s="50">
        <f t="shared" si="81"/>
        <v>1.0000000127003228</v>
      </c>
      <c r="AO63" s="50">
        <f t="shared" si="82"/>
        <v>1.5937579866412394E-4</v>
      </c>
      <c r="AP63" s="50" t="str">
        <f t="shared" si="58"/>
        <v>1-0.000458233049059744i</v>
      </c>
      <c r="AQ63" s="50">
        <f t="shared" si="83"/>
        <v>1.0000001049887581</v>
      </c>
      <c r="AR63" s="50">
        <f t="shared" si="84"/>
        <v>-4.5823301698686721E-4</v>
      </c>
      <c r="AS63" s="59" t="str">
        <f t="shared" si="85"/>
        <v>105.694393691371-13.9785926045389i</v>
      </c>
      <c r="AT63" s="50">
        <f t="shared" si="86"/>
        <v>40.556346236301799</v>
      </c>
      <c r="AU63" s="61">
        <f t="shared" si="87"/>
        <v>-7.5339197078849383</v>
      </c>
      <c r="AV63" s="32" t="str">
        <f t="shared" si="59"/>
        <v>-0.0000333333333333333</v>
      </c>
      <c r="AW63" s="32" t="str">
        <f t="shared" si="60"/>
        <v>8.50004266738875E-06i</v>
      </c>
      <c r="AX63" s="32">
        <f t="shared" si="88"/>
        <v>8.5000426673887498E-6</v>
      </c>
      <c r="AY63" s="32">
        <f t="shared" si="89"/>
        <v>1.5707963267948966</v>
      </c>
      <c r="AZ63" s="32" t="str">
        <f t="shared" si="61"/>
        <v>1+0.00346789935214646i</v>
      </c>
      <c r="BA63" s="32">
        <f t="shared" si="90"/>
        <v>1.0000060131448794</v>
      </c>
      <c r="BB63" s="32">
        <f t="shared" si="91"/>
        <v>3.4678854502174883E-3</v>
      </c>
      <c r="BC63" s="32" t="str">
        <f t="shared" si="62"/>
        <v>1+0.16645916890303i</v>
      </c>
      <c r="BD63" s="32">
        <f t="shared" si="92"/>
        <v>1.01375966328903</v>
      </c>
      <c r="BE63" s="32">
        <f t="shared" si="93"/>
        <v>0.16494678090792778</v>
      </c>
      <c r="BF63" s="59" t="str">
        <f t="shared" si="94"/>
        <v>-0.639170553867343+3.92376552162966i</v>
      </c>
      <c r="BG63" s="50">
        <f t="shared" si="95"/>
        <v>11.987800701386064</v>
      </c>
      <c r="BH63" s="61">
        <f t="shared" si="96"/>
        <v>99.252059190161063</v>
      </c>
      <c r="BI63" s="59" t="str">
        <f t="shared" si="97"/>
        <v>-1.63443393394538+73.1417617481503i</v>
      </c>
      <c r="BJ63" s="64">
        <f t="shared" si="98"/>
        <v>37.285476440003336</v>
      </c>
      <c r="BK63" s="61">
        <f t="shared" si="99"/>
        <v>91.280124806614182</v>
      </c>
      <c r="BL63" s="59" t="str">
        <f t="shared" si="105"/>
        <v>-12.7080244537895+423.654722573082i</v>
      </c>
      <c r="BM63" s="64">
        <f t="shared" si="101"/>
        <v>52.544146937687856</v>
      </c>
      <c r="BN63" s="61">
        <f t="shared" si="106"/>
        <v>91.718139482276115</v>
      </c>
      <c r="BO63" s="50">
        <f t="shared" si="103"/>
        <v>37.285476440003336</v>
      </c>
      <c r="BP63" s="61">
        <f t="shared" si="104"/>
        <v>91.280124806614182</v>
      </c>
    </row>
    <row r="64" spans="1:68" x14ac:dyDescent="0.25">
      <c r="A64" t="s">
        <v>195</v>
      </c>
      <c r="B64" s="1">
        <f>(CCOMP+CHF)</f>
        <v>4.8000000000000006E-8</v>
      </c>
      <c r="E64" t="s">
        <v>205</v>
      </c>
      <c r="N64" s="11">
        <v>46</v>
      </c>
      <c r="O64" s="51">
        <f t="shared" si="63"/>
        <v>28.840315031266066</v>
      </c>
      <c r="P64" s="49" t="str">
        <f t="shared" si="52"/>
        <v>37.1583961085025</v>
      </c>
      <c r="Q64" s="18" t="str">
        <f t="shared" si="64"/>
        <v>1+0.142033445635493i</v>
      </c>
      <c r="R64" s="18">
        <f t="shared" si="65"/>
        <v>1.0100363853243557</v>
      </c>
      <c r="S64" s="18">
        <f t="shared" si="66"/>
        <v>0.14108973840454339</v>
      </c>
      <c r="T64" s="18" t="str">
        <f t="shared" si="53"/>
        <v>1+0.000163088139292994i</v>
      </c>
      <c r="U64" s="18">
        <f t="shared" si="67"/>
        <v>1.0000000132988704</v>
      </c>
      <c r="V64" s="18">
        <f t="shared" si="68"/>
        <v>1.6308813784706865E-4</v>
      </c>
      <c r="W64" s="32" t="str">
        <f t="shared" si="54"/>
        <v>1-0.00142749311736489i</v>
      </c>
      <c r="X64" s="18">
        <f t="shared" si="69"/>
        <v>1.000001018867781</v>
      </c>
      <c r="Y64" s="18">
        <f t="shared" si="70"/>
        <v>-1.4274921477477518E-3</v>
      </c>
      <c r="Z64" s="32" t="str">
        <f t="shared" si="71"/>
        <v>0.999999979205906+0.000343693152806346i</v>
      </c>
      <c r="AA64" s="18">
        <f t="shared" si="72"/>
        <v>1.0000000382683971</v>
      </c>
      <c r="AB64" s="18">
        <f t="shared" si="73"/>
        <v>3.4369314642021802E-4</v>
      </c>
      <c r="AC64" s="32" t="str">
        <f>IMDIV(IMSUM(COMPLEX(0,2*PI()*O64*Constants!$B$61*Constants!$B$62),COMPLEX(1,0)),IMSUM(COMPLEX(0,2*PI()*O64*Constants!$B$61*Constants!$B$62),COMPLEX(2,0)))</f>
        <v>0.500000065673426+0.000181209019857644i</v>
      </c>
      <c r="AD64" s="18">
        <f t="shared" si="74"/>
        <v>0.5000000985101295</v>
      </c>
      <c r="AE64" s="18">
        <f t="shared" si="75"/>
        <v>3.6241797624534555E-4</v>
      </c>
      <c r="AF64" s="66" t="str">
        <f t="shared" si="76"/>
        <v>18.2085876433557-2.60937218491722i</v>
      </c>
      <c r="AG64" s="64">
        <f t="shared" si="77"/>
        <v>25.293809251013503</v>
      </c>
      <c r="AH64" s="61">
        <f t="shared" si="78"/>
        <v>-8.1552187028308296</v>
      </c>
      <c r="AI64" s="50" t="str">
        <f t="shared" si="55"/>
        <v>107.538871525172</v>
      </c>
      <c r="AJ64" s="50" t="str">
        <f t="shared" si="56"/>
        <v>1+0.135024271167901i</v>
      </c>
      <c r="AK64" s="50">
        <f t="shared" si="79"/>
        <v>1.0090746026951738</v>
      </c>
      <c r="AL64" s="50">
        <f t="shared" si="80"/>
        <v>0.13421256461896575</v>
      </c>
      <c r="AM64" s="50" t="str">
        <f t="shared" si="57"/>
        <v>1+0.000163088139292994i</v>
      </c>
      <c r="AN64" s="50">
        <f t="shared" si="81"/>
        <v>1.0000000132988704</v>
      </c>
      <c r="AO64" s="50">
        <f t="shared" si="82"/>
        <v>1.6308813784706865E-4</v>
      </c>
      <c r="AP64" s="50" t="str">
        <f t="shared" si="58"/>
        <v>1-0.000468906667934279i</v>
      </c>
      <c r="AQ64" s="50">
        <f t="shared" si="83"/>
        <v>1.0000001099367255</v>
      </c>
      <c r="AR64" s="50">
        <f t="shared" si="84"/>
        <v>-4.6890663356757254E-4</v>
      </c>
      <c r="AS64" s="59" t="str">
        <f t="shared" si="85"/>
        <v>105.609022577214-14.2926686817042i</v>
      </c>
      <c r="AT64" s="50">
        <f t="shared" si="86"/>
        <v>40.552845055184875</v>
      </c>
      <c r="AU64" s="61">
        <f t="shared" si="87"/>
        <v>-7.7073356193953488</v>
      </c>
      <c r="AV64" s="32" t="str">
        <f t="shared" si="59"/>
        <v>-0.0000333333333333333</v>
      </c>
      <c r="AW64" s="32" t="str">
        <f t="shared" si="60"/>
        <v>8.69803409562631E-06i</v>
      </c>
      <c r="AX64" s="32">
        <f t="shared" si="88"/>
        <v>8.6980340956263098E-6</v>
      </c>
      <c r="AY64" s="32">
        <f t="shared" si="89"/>
        <v>1.5707963267948966</v>
      </c>
      <c r="AZ64" s="32" t="str">
        <f t="shared" si="61"/>
        <v>1+0.00354867710498644i</v>
      </c>
      <c r="BA64" s="32">
        <f t="shared" si="90"/>
        <v>1.0000062965347745</v>
      </c>
      <c r="BB64" s="32">
        <f t="shared" si="91"/>
        <v>3.5486622088062329E-3</v>
      </c>
      <c r="BC64" s="32" t="str">
        <f t="shared" si="62"/>
        <v>1+0.170336501039349i</v>
      </c>
      <c r="BD64" s="32">
        <f t="shared" si="92"/>
        <v>1.0144035309413746</v>
      </c>
      <c r="BE64" s="32">
        <f t="shared" si="93"/>
        <v>0.16871718826763857</v>
      </c>
      <c r="BF64" s="59" t="str">
        <f t="shared" si="94"/>
        <v>-0.639170191600726+3.8345517990165i</v>
      </c>
      <c r="BG64" s="50">
        <f t="shared" si="95"/>
        <v>11.793313144796816</v>
      </c>
      <c r="BH64" s="61">
        <f t="shared" si="96"/>
        <v>99.463459451567644</v>
      </c>
      <c r="BI64" s="59" t="str">
        <f t="shared" si="97"/>
        <v>-1.63261364680433+71.4896054247703i</v>
      </c>
      <c r="BJ64" s="64">
        <f t="shared" si="98"/>
        <v>37.087122395810319</v>
      </c>
      <c r="BK64" s="61">
        <f t="shared" si="99"/>
        <v>91.308240748736807</v>
      </c>
      <c r="BL64" s="59" t="str">
        <f t="shared" si="105"/>
        <v>-12.6961607892677+414.098715295601i</v>
      </c>
      <c r="BM64" s="64">
        <f t="shared" si="101"/>
        <v>52.346158199981701</v>
      </c>
      <c r="BN64" s="61">
        <f t="shared" si="106"/>
        <v>91.756123832172293</v>
      </c>
      <c r="BO64" s="50">
        <f t="shared" si="103"/>
        <v>37.087122395810319</v>
      </c>
      <c r="BP64" s="61">
        <f t="shared" si="104"/>
        <v>91.308240748736807</v>
      </c>
    </row>
    <row r="65" spans="1:68" x14ac:dyDescent="0.25">
      <c r="A65" s="32" t="s">
        <v>196</v>
      </c>
      <c r="B65" s="1">
        <f>(CCOMP+CHF)/(RCOMP*CHF*CCOMP)</f>
        <v>51063.829787234034</v>
      </c>
      <c r="E65" s="32" t="s">
        <v>206</v>
      </c>
      <c r="N65" s="11">
        <v>47</v>
      </c>
      <c r="O65" s="51">
        <f t="shared" si="63"/>
        <v>29.512092266663863</v>
      </c>
      <c r="P65" s="49" t="str">
        <f t="shared" si="52"/>
        <v>37.1583961085025</v>
      </c>
      <c r="Q65" s="18" t="str">
        <f t="shared" si="64"/>
        <v>1+0.145341829588289i</v>
      </c>
      <c r="R65" s="18">
        <f t="shared" si="65"/>
        <v>1.0105069259673936</v>
      </c>
      <c r="S65" s="18">
        <f t="shared" si="66"/>
        <v>0.14433119606048089</v>
      </c>
      <c r="T65" s="18" t="str">
        <f t="shared" si="53"/>
        <v>1+0.000166886950062628i</v>
      </c>
      <c r="U65" s="18">
        <f t="shared" si="67"/>
        <v>1.0000000139256271</v>
      </c>
      <c r="V65" s="18">
        <f t="shared" si="68"/>
        <v>1.6688694851329109E-4</v>
      </c>
      <c r="W65" s="32" t="str">
        <f t="shared" si="54"/>
        <v>1-0.00146074370352849i</v>
      </c>
      <c r="X65" s="18">
        <f t="shared" si="69"/>
        <v>1.0000010668855146</v>
      </c>
      <c r="Y65" s="18">
        <f t="shared" si="70"/>
        <v>-1.4607426645650674E-3</v>
      </c>
      <c r="Z65" s="32" t="str">
        <f t="shared" si="71"/>
        <v>0.99999997822591+0.000351698794761612i</v>
      </c>
      <c r="AA65" s="18">
        <f t="shared" si="72"/>
        <v>1.0000000400719304</v>
      </c>
      <c r="AB65" s="18">
        <f t="shared" si="73"/>
        <v>3.5169878791875276E-4</v>
      </c>
      <c r="AC65" s="32" t="str">
        <f>IMDIV(IMSUM(COMPLEX(0,2*PI()*O65*Constants!$B$61*Constants!$B$62),COMPLEX(1,0)),IMSUM(COMPLEX(0,2*PI()*O65*Constants!$B$61*Constants!$B$62),COMPLEX(2,0)))</f>
        <v>0.500000068768519+0.000185429919010545i</v>
      </c>
      <c r="AD65" s="18">
        <f t="shared" si="74"/>
        <v>0.50000010315276799</v>
      </c>
      <c r="AE65" s="18">
        <f t="shared" si="75"/>
        <v>3.7085977001182288E-4</v>
      </c>
      <c r="AF65" s="66" t="str">
        <f t="shared" si="76"/>
        <v>18.1914826430181-2.66766619930082i</v>
      </c>
      <c r="AG65" s="64">
        <f t="shared" si="77"/>
        <v>25.289764228436265</v>
      </c>
      <c r="AH65" s="61">
        <f t="shared" si="78"/>
        <v>-8.3426030147641814</v>
      </c>
      <c r="AI65" s="50" t="str">
        <f t="shared" si="55"/>
        <v>107.538871525172</v>
      </c>
      <c r="AJ65" s="50" t="str">
        <f t="shared" si="56"/>
        <v>1+0.138169390473929i</v>
      </c>
      <c r="AK65" s="50">
        <f t="shared" si="79"/>
        <v>1.0095002627359426</v>
      </c>
      <c r="AL65" s="50">
        <f t="shared" si="80"/>
        <v>0.13730007269734426</v>
      </c>
      <c r="AM65" s="50" t="str">
        <f t="shared" si="57"/>
        <v>1+0.000166886950062628i</v>
      </c>
      <c r="AN65" s="50">
        <f t="shared" si="81"/>
        <v>1.0000000139256271</v>
      </c>
      <c r="AO65" s="50">
        <f t="shared" si="82"/>
        <v>1.6688694851329109E-4</v>
      </c>
      <c r="AP65" s="50" t="str">
        <f t="shared" si="58"/>
        <v>1-0.000479828907330866i</v>
      </c>
      <c r="AQ65" s="50">
        <f t="shared" si="83"/>
        <v>1.0000001151178834</v>
      </c>
      <c r="AR65" s="50">
        <f t="shared" si="84"/>
        <v>-4.7982887050627678E-4</v>
      </c>
      <c r="AS65" s="59" t="str">
        <f t="shared" si="85"/>
        <v>105.519775396669-14.6132564744412i</v>
      </c>
      <c r="AT65" s="50">
        <f t="shared" si="86"/>
        <v>40.549181891296115</v>
      </c>
      <c r="AU65" s="61">
        <f t="shared" si="87"/>
        <v>-7.8846449437601471</v>
      </c>
      <c r="AV65" s="32" t="str">
        <f t="shared" si="59"/>
        <v>-0.0000333333333333333</v>
      </c>
      <c r="AW65" s="32" t="str">
        <f t="shared" si="60"/>
        <v>8.90063733667347E-06i</v>
      </c>
      <c r="AX65" s="32">
        <f t="shared" si="88"/>
        <v>8.9006373366734707E-6</v>
      </c>
      <c r="AY65" s="32">
        <f t="shared" si="89"/>
        <v>1.5707963267948966</v>
      </c>
      <c r="AZ65" s="32" t="str">
        <f t="shared" si="61"/>
        <v>1+0.00363133641339978i</v>
      </c>
      <c r="BA65" s="32">
        <f t="shared" si="90"/>
        <v>1.0000065932803379</v>
      </c>
      <c r="BB65" s="32">
        <f t="shared" si="91"/>
        <v>3.631320451860797E-3</v>
      </c>
      <c r="BC65" s="32" t="str">
        <f t="shared" si="62"/>
        <v>1+0.17430414784319i</v>
      </c>
      <c r="BD65" s="32">
        <f t="shared" si="92"/>
        <v>1.0150773054084801</v>
      </c>
      <c r="BE65" s="32">
        <f t="shared" si="93"/>
        <v>0.17257041184512342</v>
      </c>
      <c r="BF65" s="59" t="str">
        <f t="shared" si="94"/>
        <v>-0.639169812261446+3.74737120640223i</v>
      </c>
      <c r="BG65" s="50">
        <f t="shared" si="95"/>
        <v>11.599077885509491</v>
      </c>
      <c r="BH65" s="61">
        <f t="shared" si="96"/>
        <v>99.679496931608796</v>
      </c>
      <c r="BI65" s="59" t="str">
        <f t="shared" si="97"/>
        <v>-1.63071104214287+69.8753299619953i</v>
      </c>
      <c r="BJ65" s="64">
        <f t="shared" si="98"/>
        <v>36.888842113945756</v>
      </c>
      <c r="BK65" s="61">
        <f t="shared" si="99"/>
        <v>91.336893916844616</v>
      </c>
      <c r="BL65" s="59" t="str">
        <f t="shared" si="105"/>
        <v>-12.6837584860669+404.762120424805i</v>
      </c>
      <c r="BM65" s="64">
        <f t="shared" si="101"/>
        <v>52.14825977680561</v>
      </c>
      <c r="BN65" s="61">
        <f t="shared" si="106"/>
        <v>91.794851987848645</v>
      </c>
      <c r="BO65" s="50">
        <f t="shared" si="103"/>
        <v>36.888842113945756</v>
      </c>
      <c r="BP65" s="61">
        <f t="shared" si="104"/>
        <v>91.336893916844616</v>
      </c>
    </row>
    <row r="66" spans="1:68" x14ac:dyDescent="0.25">
      <c r="N66" s="11">
        <v>48</v>
      </c>
      <c r="O66" s="51">
        <f t="shared" si="63"/>
        <v>30.199517204020164</v>
      </c>
      <c r="P66" s="49" t="str">
        <f t="shared" si="52"/>
        <v>37.1583961085025</v>
      </c>
      <c r="Q66" s="18" t="str">
        <f t="shared" si="64"/>
        <v>1+0.14872727570296i</v>
      </c>
      <c r="R66" s="18">
        <f t="shared" si="65"/>
        <v>1.0109994077832214</v>
      </c>
      <c r="S66" s="18">
        <f t="shared" si="66"/>
        <v>0.1476449976718805</v>
      </c>
      <c r="T66" s="18" t="str">
        <f t="shared" si="53"/>
        <v>1+0.000170774246502195i</v>
      </c>
      <c r="U66" s="18">
        <f t="shared" si="67"/>
        <v>1.0000000145819217</v>
      </c>
      <c r="V66" s="18">
        <f t="shared" si="68"/>
        <v>1.7077424484205055E-4</v>
      </c>
      <c r="W66" s="32" t="str">
        <f t="shared" si="54"/>
        <v>1-0.00149476879533894i</v>
      </c>
      <c r="X66" s="18">
        <f t="shared" si="69"/>
        <v>1.0000011171662517</v>
      </c>
      <c r="Y66" s="18">
        <f t="shared" si="70"/>
        <v>-1.4947676820696424E-3</v>
      </c>
      <c r="Z66" s="32" t="str">
        <f t="shared" si="71"/>
        <v>0.999999977199729+0.000359890912073145i</v>
      </c>
      <c r="AA66" s="18">
        <f t="shared" si="72"/>
        <v>1.0000000419604627</v>
      </c>
      <c r="AB66" s="18">
        <f t="shared" si="73"/>
        <v>3.5989090474088917E-4</v>
      </c>
      <c r="AC66" s="32" t="str">
        <f>IMDIV(IMSUM(COMPLEX(0,2*PI()*O66*Constants!$B$61*Constants!$B$62),COMPLEX(1,0)),IMSUM(COMPLEX(0,2*PI()*O66*Constants!$B$61*Constants!$B$62),COMPLEX(2,0)))</f>
        <v>0.500000072009479+0.00018974913545274i</v>
      </c>
      <c r="AD66" s="18">
        <f t="shared" si="74"/>
        <v>0.50000010801420702</v>
      </c>
      <c r="AE66" s="18">
        <f t="shared" si="75"/>
        <v>3.7949819803223913E-4</v>
      </c>
      <c r="AF66" s="66" t="str">
        <f t="shared" si="76"/>
        <v>18.1736056149186-2.72714532608782i</v>
      </c>
      <c r="AG66" s="64">
        <f t="shared" si="77"/>
        <v>25.28553260497435</v>
      </c>
      <c r="AH66" s="61">
        <f t="shared" si="78"/>
        <v>-8.5341710537204847</v>
      </c>
      <c r="AI66" s="50" t="str">
        <f t="shared" si="55"/>
        <v>107.538871525172</v>
      </c>
      <c r="AJ66" s="50" t="str">
        <f t="shared" si="56"/>
        <v>1+0.141387769019675i</v>
      </c>
      <c r="AK66" s="50">
        <f t="shared" si="79"/>
        <v>1.0099457912325596</v>
      </c>
      <c r="AL66" s="50">
        <f t="shared" si="80"/>
        <v>0.14045677295544928</v>
      </c>
      <c r="AM66" s="50" t="str">
        <f t="shared" si="57"/>
        <v>1+0.000170774246502195i</v>
      </c>
      <c r="AN66" s="50">
        <f t="shared" si="81"/>
        <v>1.0000000145819217</v>
      </c>
      <c r="AO66" s="50">
        <f t="shared" si="82"/>
        <v>1.7077424484205055E-4</v>
      </c>
      <c r="AP66" s="50" t="str">
        <f t="shared" si="58"/>
        <v>1-0.000491005558365407i</v>
      </c>
      <c r="AQ66" s="50">
        <f t="shared" si="83"/>
        <v>1.0000001205432218</v>
      </c>
      <c r="AR66" s="50">
        <f t="shared" si="84"/>
        <v>-4.91005518907149E-4</v>
      </c>
      <c r="AS66" s="59" t="str">
        <f t="shared" si="85"/>
        <v>105.426483283853-14.9404525809989i</v>
      </c>
      <c r="AT66" s="50">
        <f t="shared" si="86"/>
        <v>40.545349396667767</v>
      </c>
      <c r="AU66" s="61">
        <f t="shared" si="87"/>
        <v>-8.0659281948465491</v>
      </c>
      <c r="AV66" s="32" t="str">
        <f t="shared" si="59"/>
        <v>-0.0000333333333333333</v>
      </c>
      <c r="AW66" s="32" t="str">
        <f t="shared" si="60"/>
        <v>0.0000091079598134504i</v>
      </c>
      <c r="AX66" s="32">
        <f t="shared" si="88"/>
        <v>9.1079598134503993E-6</v>
      </c>
      <c r="AY66" s="32">
        <f t="shared" si="89"/>
        <v>1.5707963267948966</v>
      </c>
      <c r="AZ66" s="32" t="str">
        <f t="shared" si="61"/>
        <v>1+0.00371592110444592i</v>
      </c>
      <c r="BA66" s="32">
        <f t="shared" si="90"/>
        <v>1.0000069040109947</v>
      </c>
      <c r="BB66" s="32">
        <f t="shared" si="91"/>
        <v>3.715904001355136E-3</v>
      </c>
      <c r="BC66" s="32" t="str">
        <f t="shared" si="62"/>
        <v>1+0.178364213013404i</v>
      </c>
      <c r="BD66" s="32">
        <f t="shared" si="92"/>
        <v>1.0157823548791793</v>
      </c>
      <c r="BE66" s="32">
        <f t="shared" si="93"/>
        <v>0.17650803676087554</v>
      </c>
      <c r="BF66" s="59" t="str">
        <f t="shared" si="94"/>
        <v>-0.639169415044936+3.66217751947403i</v>
      </c>
      <c r="BG66" s="50">
        <f t="shared" si="95"/>
        <v>11.405106112529973</v>
      </c>
      <c r="BH66" s="61">
        <f t="shared" si="96"/>
        <v>99.900259940184739</v>
      </c>
      <c r="BI66" s="59" t="str">
        <f t="shared" si="97"/>
        <v>-1.6287225646074+68.29807781356i</v>
      </c>
      <c r="BJ66" s="64">
        <f t="shared" si="98"/>
        <v>36.690638717504321</v>
      </c>
      <c r="BK66" s="61">
        <f t="shared" si="99"/>
        <v>91.366088886464254</v>
      </c>
      <c r="BL66" s="59" t="str">
        <f t="shared" si="105"/>
        <v>-12.6707940778831+395.639977376035i</v>
      </c>
      <c r="BM66" s="64">
        <f t="shared" si="101"/>
        <v>51.950455509197738</v>
      </c>
      <c r="BN66" s="61">
        <f t="shared" si="106"/>
        <v>91.834331745338176</v>
      </c>
      <c r="BO66" s="50">
        <f t="shared" si="103"/>
        <v>36.690638717504321</v>
      </c>
      <c r="BP66" s="61">
        <f t="shared" si="104"/>
        <v>91.366088886464254</v>
      </c>
    </row>
    <row r="67" spans="1:68" x14ac:dyDescent="0.25">
      <c r="N67" s="11">
        <v>49</v>
      </c>
      <c r="O67" s="51">
        <f t="shared" si="63"/>
        <v>30.902954325135919</v>
      </c>
      <c r="P67" s="49" t="str">
        <f t="shared" si="52"/>
        <v>37.1583961085025</v>
      </c>
      <c r="Q67" s="18" t="str">
        <f t="shared" si="64"/>
        <v>1+0.152191578987846i</v>
      </c>
      <c r="R67" s="18">
        <f t="shared" si="65"/>
        <v>1.0115148425578411</v>
      </c>
      <c r="S67" s="18">
        <f t="shared" si="66"/>
        <v>0.15103260899067186</v>
      </c>
      <c r="T67" s="18" t="str">
        <f t="shared" si="53"/>
        <v>1+0.000174752089707723i</v>
      </c>
      <c r="U67" s="18">
        <f t="shared" si="67"/>
        <v>1.0000000152691462</v>
      </c>
      <c r="V67" s="18">
        <f t="shared" si="68"/>
        <v>1.7475208792884619E-4</v>
      </c>
      <c r="W67" s="32" t="str">
        <f t="shared" si="54"/>
        <v>1-0.00152958643335029i</v>
      </c>
      <c r="X67" s="18">
        <f t="shared" si="69"/>
        <v>1.0000011698166442</v>
      </c>
      <c r="Y67" s="18">
        <f t="shared" si="70"/>
        <v>-1.5295852404608211E-3</v>
      </c>
      <c r="Z67" s="32" t="str">
        <f t="shared" si="71"/>
        <v>0.999999976125185+0.000368273848309978i</v>
      </c>
      <c r="AA67" s="18">
        <f t="shared" si="72"/>
        <v>1.0000000439379981</v>
      </c>
      <c r="AB67" s="18">
        <f t="shared" si="73"/>
        <v>3.6827384045332446E-4</v>
      </c>
      <c r="AC67" s="32" t="str">
        <f>IMDIV(IMSUM(COMPLEX(0,2*PI()*O67*Constants!$B$61*Constants!$B$62),COMPLEX(1,0)),IMSUM(COMPLEX(0,2*PI()*O67*Constants!$B$61*Constants!$B$62),COMPLEX(2,0)))</f>
        <v>0.500000075403181+0.000194168959282217i</v>
      </c>
      <c r="AD67" s="18">
        <f t="shared" si="74"/>
        <v>0.50000011310475867</v>
      </c>
      <c r="AE67" s="18">
        <f t="shared" si="75"/>
        <v>3.8833784047935142E-4</v>
      </c>
      <c r="AF67" s="66" t="str">
        <f t="shared" si="76"/>
        <v>18.1549233557619-2.78782541890318i</v>
      </c>
      <c r="AG67" s="64">
        <f t="shared" si="77"/>
        <v>25.281105967083057</v>
      </c>
      <c r="AH67" s="61">
        <f t="shared" si="78"/>
        <v>-8.7300077030779519</v>
      </c>
      <c r="AI67" s="50" t="str">
        <f t="shared" si="55"/>
        <v>107.538871525172</v>
      </c>
      <c r="AJ67" s="50" t="str">
        <f t="shared" si="56"/>
        <v>1+0.144681113232043i</v>
      </c>
      <c r="AK67" s="50">
        <f t="shared" si="79"/>
        <v>1.0104121062843929</v>
      </c>
      <c r="AL67" s="50">
        <f t="shared" si="80"/>
        <v>0.14368408733952232</v>
      </c>
      <c r="AM67" s="50" t="str">
        <f t="shared" si="57"/>
        <v>1+0.000174752089707723i</v>
      </c>
      <c r="AN67" s="50">
        <f t="shared" si="81"/>
        <v>1.0000000152691462</v>
      </c>
      <c r="AO67" s="50">
        <f t="shared" si="82"/>
        <v>1.7475208792884619E-4</v>
      </c>
      <c r="AP67" s="50" t="str">
        <f t="shared" si="58"/>
        <v>1-0.000502442547046219i</v>
      </c>
      <c r="AQ67" s="50">
        <f t="shared" si="83"/>
        <v>1.0000001262242486</v>
      </c>
      <c r="AR67" s="50">
        <f t="shared" si="84"/>
        <v>-5.024425047659341E-4</v>
      </c>
      <c r="AS67" s="59" t="str">
        <f t="shared" si="85"/>
        <v>105.328970687682-15.2743521966709i</v>
      </c>
      <c r="AT67" s="50">
        <f t="shared" si="86"/>
        <v>40.541339903818269</v>
      </c>
      <c r="AU67" s="61">
        <f t="shared" si="87"/>
        <v>-8.2512670656154299</v>
      </c>
      <c r="AV67" s="32" t="str">
        <f t="shared" si="59"/>
        <v>-0.0000333333333333333</v>
      </c>
      <c r="AW67" s="32" t="str">
        <f t="shared" si="60"/>
        <v>9.32011145107852E-06i</v>
      </c>
      <c r="AX67" s="32">
        <f t="shared" si="88"/>
        <v>9.32011145107852E-6</v>
      </c>
      <c r="AY67" s="32">
        <f t="shared" si="89"/>
        <v>1.5707963267948966</v>
      </c>
      <c r="AZ67" s="32" t="str">
        <f t="shared" si="61"/>
        <v>1+0.00380247602604767i</v>
      </c>
      <c r="BA67" s="32">
        <f t="shared" si="90"/>
        <v>1.0000072293858322</v>
      </c>
      <c r="BB67" s="32">
        <f t="shared" si="91"/>
        <v>3.8024576997628713E-3</v>
      </c>
      <c r="BC67" s="32" t="str">
        <f t="shared" si="62"/>
        <v>1+0.182518849250288i</v>
      </c>
      <c r="BD67" s="32">
        <f t="shared" si="92"/>
        <v>1.0165201081787065</v>
      </c>
      <c r="BE67" s="32">
        <f t="shared" si="93"/>
        <v>0.18053166213351815</v>
      </c>
      <c r="BF67" s="59" t="str">
        <f t="shared" si="94"/>
        <v>-0.639168999108723+3.57892556740216i</v>
      </c>
      <c r="BG67" s="50">
        <f t="shared" si="95"/>
        <v>11.211409477646093</v>
      </c>
      <c r="BH67" s="61">
        <f t="shared" si="96"/>
        <v>100.12583753075896</v>
      </c>
      <c r="BI67" s="59" t="str">
        <f t="shared" si="97"/>
        <v>-1.62664452103168+66.7570109548531i</v>
      </c>
      <c r="BJ67" s="64">
        <f t="shared" si="98"/>
        <v>36.492515444729158</v>
      </c>
      <c r="BK67" s="61">
        <f t="shared" si="99"/>
        <v>91.395829827680998</v>
      </c>
      <c r="BL67" s="59" t="str">
        <f t="shared" si="105"/>
        <v>-12.6572431694269+386.727438587878i</v>
      </c>
      <c r="BM67" s="64">
        <f t="shared" si="101"/>
        <v>51.752749381464355</v>
      </c>
      <c r="BN67" s="61">
        <f t="shared" si="106"/>
        <v>91.87457046514352</v>
      </c>
      <c r="BO67" s="50">
        <f t="shared" si="103"/>
        <v>36.492515444729158</v>
      </c>
      <c r="BP67" s="61">
        <f t="shared" si="104"/>
        <v>91.395829827680998</v>
      </c>
    </row>
    <row r="68" spans="1:68" x14ac:dyDescent="0.25">
      <c r="N68" s="11">
        <v>50</v>
      </c>
      <c r="O68" s="51">
        <f t="shared" si="63"/>
        <v>31.622776601683803</v>
      </c>
      <c r="P68" s="49" t="str">
        <f t="shared" si="52"/>
        <v>37.1583961085025</v>
      </c>
      <c r="Q68" s="18" t="str">
        <f t="shared" si="64"/>
        <v>1+0.155736576262406i</v>
      </c>
      <c r="R68" s="18">
        <f t="shared" si="65"/>
        <v>1.0120542876673841</v>
      </c>
      <c r="S68" s="18">
        <f t="shared" si="66"/>
        <v>0.15449551500501199</v>
      </c>
      <c r="T68" s="18" t="str">
        <f t="shared" si="53"/>
        <v>1+0.00017882258878433i</v>
      </c>
      <c r="U68" s="18">
        <f t="shared" si="67"/>
        <v>1.000000015988759</v>
      </c>
      <c r="V68" s="18">
        <f t="shared" si="68"/>
        <v>1.7882258687822918E-4</v>
      </c>
      <c r="W68" s="32" t="str">
        <f t="shared" si="54"/>
        <v>1-0.00156521507833506i</v>
      </c>
      <c r="X68" s="18">
        <f t="shared" si="69"/>
        <v>1.0000012249483705</v>
      </c>
      <c r="Y68" s="18">
        <f t="shared" si="70"/>
        <v>-1.5652138001310495E-3</v>
      </c>
      <c r="Z68" s="32" t="str">
        <f t="shared" si="71"/>
        <v>0.999999975+0.000376852048215865i</v>
      </c>
      <c r="AA68" s="18">
        <f t="shared" si="72"/>
        <v>1.0000000460087326</v>
      </c>
      <c r="AB68" s="18">
        <f t="shared" si="73"/>
        <v>3.768520397973089E-4</v>
      </c>
      <c r="AC68" s="32" t="str">
        <f>IMDIV(IMSUM(COMPLEX(0,2*PI()*O68*Constants!$B$61*Constants!$B$62),COMPLEX(1,0)),IMSUM(COMPLEX(0,2*PI()*O68*Constants!$B$61*Constants!$B$62),COMPLEX(2,0)))</f>
        <v>0.500000078956823+0.000198691733939781i</v>
      </c>
      <c r="AD68" s="18">
        <f t="shared" si="74"/>
        <v>0.5000001184352203</v>
      </c>
      <c r="AE68" s="18">
        <f t="shared" si="75"/>
        <v>3.9738338420989086E-4</v>
      </c>
      <c r="AF68" s="66" t="str">
        <f t="shared" si="76"/>
        <v>18.1354013886665-2.84972193087678i</v>
      </c>
      <c r="AG68" s="64">
        <f t="shared" si="77"/>
        <v>25.276475540179717</v>
      </c>
      <c r="AH68" s="61">
        <f t="shared" si="78"/>
        <v>-8.9301989693780932</v>
      </c>
      <c r="AI68" s="50" t="str">
        <f t="shared" si="55"/>
        <v>107.538871525172</v>
      </c>
      <c r="AJ68" s="50" t="str">
        <f t="shared" si="56"/>
        <v>1+0.148051169285728i</v>
      </c>
      <c r="AK68" s="50">
        <f t="shared" si="79"/>
        <v>1.0109001675372653</v>
      </c>
      <c r="AL68" s="50">
        <f t="shared" si="80"/>
        <v>0.14698345795964962</v>
      </c>
      <c r="AM68" s="50" t="str">
        <f t="shared" si="57"/>
        <v>1+0.00017882258878433i</v>
      </c>
      <c r="AN68" s="50">
        <f t="shared" si="81"/>
        <v>1.000000015988759</v>
      </c>
      <c r="AO68" s="50">
        <f t="shared" si="82"/>
        <v>1.7882258687822918E-4</v>
      </c>
      <c r="AP68" s="50" t="str">
        <f t="shared" si="58"/>
        <v>1-0.000514145937416088i</v>
      </c>
      <c r="AQ68" s="50">
        <f t="shared" si="83"/>
        <v>1.0000001321730139</v>
      </c>
      <c r="AR68" s="50">
        <f t="shared" si="84"/>
        <v>-5.1414589211194685E-4</v>
      </c>
      <c r="AS68" s="59" t="str">
        <f t="shared" si="85"/>
        <v>105.227055171237-15.6150488531034i</v>
      </c>
      <c r="AT68" s="50">
        <f t="shared" si="86"/>
        <v>40.537145413161504</v>
      </c>
      <c r="AU68" s="61">
        <f t="shared" si="87"/>
        <v>-8.4407444094887865</v>
      </c>
      <c r="AV68" s="32" t="str">
        <f t="shared" si="59"/>
        <v>-0.0000333333333333333</v>
      </c>
      <c r="AW68" s="32" t="str">
        <f t="shared" si="60"/>
        <v>9.53720473516426E-06i</v>
      </c>
      <c r="AX68" s="32">
        <f t="shared" si="88"/>
        <v>9.5372047351642607E-6</v>
      </c>
      <c r="AY68" s="32">
        <f t="shared" si="89"/>
        <v>1.5707963267948966</v>
      </c>
      <c r="AZ68" s="32" t="str">
        <f t="shared" si="61"/>
        <v>1+0.00389104707077014i</v>
      </c>
      <c r="BA68" s="32">
        <f t="shared" si="90"/>
        <v>1.0000075700950004</v>
      </c>
      <c r="BB68" s="32">
        <f t="shared" si="91"/>
        <v>3.8910274338102135E-3</v>
      </c>
      <c r="BC68" s="32" t="str">
        <f t="shared" si="62"/>
        <v>1+0.186770259396967i</v>
      </c>
      <c r="BD68" s="32">
        <f t="shared" si="92"/>
        <v>1.0172920572752007</v>
      </c>
      <c r="BE68" s="32">
        <f t="shared" si="93"/>
        <v>0.18464289995948208</v>
      </c>
      <c r="BF68" s="59" t="str">
        <f t="shared" si="94"/>
        <v>-0.639168563570616+3.49757120888973i</v>
      </c>
      <c r="BG68" s="50">
        <f t="shared" si="95"/>
        <v>11.018000111454924</v>
      </c>
      <c r="BH68" s="61">
        <f t="shared" si="96"/>
        <v>100.35631943480759</v>
      </c>
      <c r="BI68" s="59" t="str">
        <f t="shared" si="97"/>
        <v>-1.62447307659425+65.251310431793i</v>
      </c>
      <c r="BJ68" s="64">
        <f t="shared" si="98"/>
        <v>36.294475651634649</v>
      </c>
      <c r="BK68" s="61">
        <f t="shared" si="99"/>
        <v>91.426120465429491</v>
      </c>
      <c r="BL68" s="59" t="str">
        <f t="shared" si="105"/>
        <v>-12.6430804085445+378.019766908693i</v>
      </c>
      <c r="BM68" s="64">
        <f t="shared" si="101"/>
        <v>51.555145524616435</v>
      </c>
      <c r="BN68" s="61">
        <f t="shared" si="106"/>
        <v>91.915575025318816</v>
      </c>
      <c r="BO68" s="50">
        <f t="shared" si="103"/>
        <v>36.294475651634649</v>
      </c>
      <c r="BP68" s="61">
        <f t="shared" si="104"/>
        <v>91.426120465429491</v>
      </c>
    </row>
    <row r="69" spans="1:68" x14ac:dyDescent="0.25">
      <c r="A69" s="68" t="s">
        <v>743</v>
      </c>
      <c r="N69" s="11">
        <v>51</v>
      </c>
      <c r="O69" s="51">
        <f t="shared" si="63"/>
        <v>32.359365692962832</v>
      </c>
      <c r="P69" s="49" t="str">
        <f t="shared" si="52"/>
        <v>37.1583961085025</v>
      </c>
      <c r="Q69" s="18" t="str">
        <f t="shared" si="64"/>
        <v>1+0.159364147131117i</v>
      </c>
      <c r="R69" s="18">
        <f t="shared" si="65"/>
        <v>1.0126188480325795</v>
      </c>
      <c r="S69" s="18">
        <f t="shared" si="66"/>
        <v>0.1580352194130453</v>
      </c>
      <c r="T69" s="18" t="str">
        <f t="shared" si="53"/>
        <v>1+0.000182987901964508i</v>
      </c>
      <c r="U69" s="18">
        <f t="shared" si="67"/>
        <v>1.000000016742286</v>
      </c>
      <c r="V69" s="18">
        <f t="shared" si="68"/>
        <v>1.8298789992208416E-4</v>
      </c>
      <c r="W69" s="32" t="str">
        <f t="shared" si="54"/>
        <v>1-0.00160167362107243i</v>
      </c>
      <c r="X69" s="18">
        <f t="shared" si="69"/>
        <v>1.0000012826783715</v>
      </c>
      <c r="Y69" s="18">
        <f t="shared" si="70"/>
        <v>-1.6016722514522518E-3</v>
      </c>
      <c r="Z69" s="32" t="str">
        <f t="shared" si="71"/>
        <v>0.999999973821786+0.000385630060065943i</v>
      </c>
      <c r="AA69" s="18">
        <f t="shared" si="72"/>
        <v>1.0000000481770568</v>
      </c>
      <c r="AB69" s="18">
        <f t="shared" si="73"/>
        <v>3.856300510452978E-4</v>
      </c>
      <c r="AC69" s="32" t="str">
        <f>IMDIV(IMSUM(COMPLEX(0,2*PI()*O69*Constants!$B$61*Constants!$B$62),COMPLEX(1,0)),IMSUM(COMPLEX(0,2*PI()*O69*Constants!$B$61*Constants!$B$62),COMPLEX(2,0)))</f>
        <v>0.500000082677942+0.000203319857451535i</v>
      </c>
      <c r="AD69" s="18">
        <f t="shared" si="74"/>
        <v>0.50000012401689797</v>
      </c>
      <c r="AE69" s="18">
        <f t="shared" si="75"/>
        <v>4.0663962524940529E-4</v>
      </c>
      <c r="AF69" s="66" t="str">
        <f t="shared" si="76"/>
        <v>18.1150039290147-2.91284985840575i</v>
      </c>
      <c r="AG69" s="64">
        <f t="shared" si="77"/>
        <v>25.271632174872508</v>
      </c>
      <c r="AH69" s="61">
        <f t="shared" si="78"/>
        <v>-9.1348319526640722</v>
      </c>
      <c r="AI69" s="50" t="str">
        <f t="shared" si="55"/>
        <v>107.538871525172</v>
      </c>
      <c r="AJ69" s="50" t="str">
        <f t="shared" si="56"/>
        <v>1+0.151499724029057i</v>
      </c>
      <c r="AK69" s="50">
        <f t="shared" si="79"/>
        <v>1.0114109779811966</v>
      </c>
      <c r="AL69" s="50">
        <f t="shared" si="80"/>
        <v>0.1503563467048494</v>
      </c>
      <c r="AM69" s="50" t="str">
        <f t="shared" si="57"/>
        <v>1+0.000182987901964508i</v>
      </c>
      <c r="AN69" s="50">
        <f t="shared" si="81"/>
        <v>1.000000016742286</v>
      </c>
      <c r="AO69" s="50">
        <f t="shared" si="82"/>
        <v>1.8298789992208416E-4</v>
      </c>
      <c r="AP69" s="50" t="str">
        <f t="shared" si="58"/>
        <v>1-0.000526121934767502i</v>
      </c>
      <c r="AQ69" s="50">
        <f t="shared" si="83"/>
        <v>1.0000001384021355</v>
      </c>
      <c r="AR69" s="50">
        <f t="shared" si="84"/>
        <v>-5.2612188622324046E-4</v>
      </c>
      <c r="AS69" s="59" t="str">
        <f t="shared" si="85"/>
        <v>105.120547211529-15.9626341389996i</v>
      </c>
      <c r="AT69" s="50">
        <f t="shared" si="86"/>
        <v>40.532757580043977</v>
      </c>
      <c r="AU69" s="61">
        <f t="shared" si="87"/>
        <v>-8.6344442184161601</v>
      </c>
      <c r="AV69" s="32" t="str">
        <f t="shared" si="59"/>
        <v>-0.0000333333333333333</v>
      </c>
      <c r="AW69" s="32" t="str">
        <f t="shared" si="60"/>
        <v>9.75935477144041E-06i</v>
      </c>
      <c r="AX69" s="32">
        <f t="shared" si="88"/>
        <v>9.7593547714404093E-6</v>
      </c>
      <c r="AY69" s="32">
        <f t="shared" si="89"/>
        <v>1.5707963267948966</v>
      </c>
      <c r="AZ69" s="32" t="str">
        <f t="shared" si="61"/>
        <v>1+0.00398168120015364i</v>
      </c>
      <c r="BA69" s="32">
        <f t="shared" si="90"/>
        <v>1.0000079268611723</v>
      </c>
      <c r="BB69" s="32">
        <f t="shared" si="91"/>
        <v>3.9816601587809907E-3</v>
      </c>
      <c r="BC69" s="32" t="str">
        <f t="shared" si="62"/>
        <v>1+0.191120697607375i</v>
      </c>
      <c r="BD69" s="32">
        <f t="shared" si="92"/>
        <v>1.0180997598732306</v>
      </c>
      <c r="BE69" s="32">
        <f t="shared" si="93"/>
        <v>0.18884337388490158</v>
      </c>
      <c r="BF69" s="59" t="str">
        <f t="shared" si="94"/>
        <v>-0.639168107506873+3.41807130876826i</v>
      </c>
      <c r="BG69" s="50">
        <f t="shared" si="95"/>
        <v>10.824890639649261</v>
      </c>
      <c r="BH69" s="61">
        <f t="shared" si="96"/>
        <v>100.59179599006238</v>
      </c>
      <c r="BI69" s="59" t="str">
        <f t="shared" si="97"/>
        <v>-1.62220425102151+63.7801759194383i</v>
      </c>
      <c r="BJ69" s="64">
        <f t="shared" si="98"/>
        <v>36.096522814521762</v>
      </c>
      <c r="BK69" s="61">
        <f t="shared" si="99"/>
        <v>91.456964037398308</v>
      </c>
      <c r="BL69" s="59" t="str">
        <f t="shared" si="105"/>
        <v>-12.6282794584006+369.512333039196i</v>
      </c>
      <c r="BM69" s="64">
        <f t="shared" si="101"/>
        <v>51.357648219693253</v>
      </c>
      <c r="BN69" s="61">
        <f t="shared" si="106"/>
        <v>91.957351771646202</v>
      </c>
      <c r="BO69" s="50">
        <f t="shared" si="103"/>
        <v>36.096522814521762</v>
      </c>
      <c r="BP69" s="61">
        <f t="shared" si="104"/>
        <v>91.456964037398308</v>
      </c>
    </row>
    <row r="70" spans="1:68" x14ac:dyDescent="0.25">
      <c r="A70" t="s">
        <v>398</v>
      </c>
      <c r="B70">
        <f>SQRT((2*IOUT*Lm*Fsw*(VOUT-VIN_var)/(VIN_var^2)))</f>
        <v>2.0701247949499724</v>
      </c>
      <c r="E70" s="47"/>
      <c r="N70" s="11">
        <v>52</v>
      </c>
      <c r="O70" s="51">
        <f t="shared" si="63"/>
        <v>33.113112148259127</v>
      </c>
      <c r="P70" s="49" t="str">
        <f t="shared" si="52"/>
        <v>37.1583961085025</v>
      </c>
      <c r="Q70" s="18" t="str">
        <f t="shared" si="64"/>
        <v>1+0.163076214980072i</v>
      </c>
      <c r="R70" s="18">
        <f t="shared" si="65"/>
        <v>1.01320967814773</v>
      </c>
      <c r="S70" s="18">
        <f t="shared" si="66"/>
        <v>0.16165324402529679</v>
      </c>
      <c r="T70" s="18" t="str">
        <f t="shared" si="53"/>
        <v>1+0.000187250237752439i</v>
      </c>
      <c r="U70" s="18">
        <f t="shared" si="67"/>
        <v>1.0000000175313255</v>
      </c>
      <c r="V70" s="18">
        <f t="shared" si="68"/>
        <v>1.8725023556394243E-4</v>
      </c>
      <c r="W70" s="32" t="str">
        <f t="shared" si="54"/>
        <v>1-0.00163898139236437i</v>
      </c>
      <c r="X70" s="18">
        <f t="shared" si="69"/>
        <v>1.0000013431291002</v>
      </c>
      <c r="Y70" s="18">
        <f t="shared" si="70"/>
        <v>-1.6389799247900146E-3</v>
      </c>
      <c r="Z70" s="32" t="str">
        <f t="shared" si="71"/>
        <v>0.999999972588045+0.000394612538078287i</v>
      </c>
      <c r="AA70" s="18">
        <f t="shared" si="72"/>
        <v>1.0000000504475717</v>
      </c>
      <c r="AB70" s="18">
        <f t="shared" si="73"/>
        <v>3.9461252841249147E-4</v>
      </c>
      <c r="AC70" s="32" t="str">
        <f>IMDIV(IMSUM(COMPLEX(0,2*PI()*O70*Constants!$B$61*Constants!$B$62),COMPLEX(1,0)),IMSUM(COMPLEX(0,2*PI()*O70*Constants!$B$61*Constants!$B$62),COMPLEX(2,0)))</f>
        <v>0.500000086574433+0.000208055783700302i</v>
      </c>
      <c r="AD70" s="18">
        <f t="shared" si="74"/>
        <v>0.50000012986163278</v>
      </c>
      <c r="AE70" s="18">
        <f t="shared" si="75"/>
        <v>4.1611147133497418E-4</v>
      </c>
      <c r="AF70" s="66" t="str">
        <f t="shared" si="76"/>
        <v>18.0936938508786-2.97722368116624i</v>
      </c>
      <c r="AG70" s="64">
        <f t="shared" si="77"/>
        <v>25.266566332827949</v>
      </c>
      <c r="AH70" s="61">
        <f t="shared" si="78"/>
        <v>-9.3439948127409469</v>
      </c>
      <c r="AI70" s="50" t="str">
        <f t="shared" si="55"/>
        <v>107.538871525172</v>
      </c>
      <c r="AJ70" s="50" t="str">
        <f t="shared" si="56"/>
        <v>1+0.155028605931403i</v>
      </c>
      <c r="AK70" s="50">
        <f t="shared" si="79"/>
        <v>1.0119455858182467</v>
      </c>
      <c r="AL70" s="50">
        <f t="shared" si="80"/>
        <v>0.15380423479643046</v>
      </c>
      <c r="AM70" s="50" t="str">
        <f t="shared" si="57"/>
        <v>1+0.000187250237752439i</v>
      </c>
      <c r="AN70" s="50">
        <f t="shared" si="81"/>
        <v>1.0000000175313255</v>
      </c>
      <c r="AO70" s="50">
        <f t="shared" si="82"/>
        <v>1.8725023556394243E-4</v>
      </c>
      <c r="AP70" s="50" t="str">
        <f t="shared" si="58"/>
        <v>1-0.000538376888932779i</v>
      </c>
      <c r="AQ70" s="50">
        <f t="shared" si="83"/>
        <v>1.0000001449248268</v>
      </c>
      <c r="AR70" s="50">
        <f t="shared" si="84"/>
        <v>-5.3837683691666598E-4</v>
      </c>
      <c r="AS70" s="59" t="str">
        <f t="shared" si="85"/>
        <v>105.009250000463-16.3171974013043i</v>
      </c>
      <c r="AT70" s="50">
        <f t="shared" si="86"/>
        <v>40.528167701410744</v>
      </c>
      <c r="AU70" s="61">
        <f t="shared" si="87"/>
        <v>-8.8324515974069051</v>
      </c>
      <c r="AV70" s="32" t="str">
        <f t="shared" si="59"/>
        <v>-0.0000333333333333333</v>
      </c>
      <c r="AW70" s="32" t="str">
        <f t="shared" si="60"/>
        <v>9.98667934679672E-06i</v>
      </c>
      <c r="AX70" s="32">
        <f t="shared" si="88"/>
        <v>9.9866793467967199E-6</v>
      </c>
      <c r="AY70" s="32">
        <f t="shared" si="89"/>
        <v>1.5707963267948966</v>
      </c>
      <c r="AZ70" s="32" t="str">
        <f t="shared" si="61"/>
        <v>1+0.00407442646961326i</v>
      </c>
      <c r="BA70" s="32">
        <f t="shared" si="90"/>
        <v>1.0000083004410796</v>
      </c>
      <c r="BB70" s="32">
        <f t="shared" si="91"/>
        <v>4.0744039233863646E-3</v>
      </c>
      <c r="BC70" s="32" t="str">
        <f t="shared" si="62"/>
        <v>1+0.195572470541437i</v>
      </c>
      <c r="BD70" s="32">
        <f t="shared" si="92"/>
        <v>1.0189448420958227</v>
      </c>
      <c r="BE70" s="32">
        <f t="shared" si="93"/>
        <v>0.193134717863714</v>
      </c>
      <c r="BF70" s="59" t="str">
        <f t="shared" si="94"/>
        <v>-0.639167629950203+3.34038371512703i</v>
      </c>
      <c r="BG70" s="50">
        <f t="shared" si="95"/>
        <v>10.632094199536933</v>
      </c>
      <c r="BH70" s="61">
        <f t="shared" si="96"/>
        <v>100.83235806219913</v>
      </c>
      <c r="BI70" s="59" t="str">
        <f t="shared" si="97"/>
        <v>-1.61983391485238+62.3428252900916i</v>
      </c>
      <c r="BJ70" s="64">
        <f t="shared" si="98"/>
        <v>35.898660532364886</v>
      </c>
      <c r="BK70" s="61">
        <f t="shared" si="99"/>
        <v>91.488363249458175</v>
      </c>
      <c r="BL70" s="59" t="str">
        <f t="shared" si="105"/>
        <v>-12.6128129698143+361.200613029671i</v>
      </c>
      <c r="BM70" s="64">
        <f t="shared" si="101"/>
        <v>51.160261900947681</v>
      </c>
      <c r="BN70" s="61">
        <f t="shared" si="106"/>
        <v>91.999906464792232</v>
      </c>
      <c r="BO70" s="50">
        <f t="shared" si="103"/>
        <v>35.898660532364886</v>
      </c>
      <c r="BP70" s="61">
        <f t="shared" si="104"/>
        <v>91.488363249458175</v>
      </c>
    </row>
    <row r="71" spans="1:68" x14ac:dyDescent="0.25">
      <c r="A71" s="32" t="s">
        <v>378</v>
      </c>
      <c r="B71" s="32">
        <f>(Fsw*Gcomp)/((R_cs*Acs*(VIN_var/Lm))+Vsl)</f>
        <v>6.1111066296329151</v>
      </c>
      <c r="C71" s="32" t="s">
        <v>121</v>
      </c>
      <c r="E71" s="341"/>
      <c r="N71" s="11">
        <v>53</v>
      </c>
      <c r="O71" s="51">
        <f t="shared" si="63"/>
        <v>33.884415613920268</v>
      </c>
      <c r="P71" s="49" t="str">
        <f t="shared" si="52"/>
        <v>37.1583961085025</v>
      </c>
      <c r="Q71" s="18" t="str">
        <f t="shared" si="64"/>
        <v>1+0.166874747996776i</v>
      </c>
      <c r="R71" s="18">
        <f t="shared" si="65"/>
        <v>1.0138279841861673</v>
      </c>
      <c r="S71" s="18">
        <f t="shared" si="66"/>
        <v>0.16535112809096086</v>
      </c>
      <c r="T71" s="18" t="str">
        <f t="shared" si="53"/>
        <v>1+0.000191611856094975i</v>
      </c>
      <c r="U71" s="18">
        <f t="shared" si="67"/>
        <v>1.0000000183575515</v>
      </c>
      <c r="V71" s="18">
        <f t="shared" si="68"/>
        <v>1.9161185374995867E-4</v>
      </c>
      <c r="W71" s="32" t="str">
        <f t="shared" si="54"/>
        <v>1-0.001677158173285i</v>
      </c>
      <c r="X71" s="18">
        <f t="shared" si="69"/>
        <v>1.0000014064287801</v>
      </c>
      <c r="Y71" s="18">
        <f t="shared" si="70"/>
        <v>-1.6771566007508657E-3</v>
      </c>
      <c r="Z71" s="32" t="str">
        <f t="shared" si="71"/>
        <v>0.999999971296159+0.000403804244881632i</v>
      </c>
      <c r="AA71" s="18">
        <f t="shared" si="72"/>
        <v>1.0000000528250923</v>
      </c>
      <c r="AB71" s="18">
        <f t="shared" si="73"/>
        <v>4.0380423452454563E-4</v>
      </c>
      <c r="AC71" s="32" t="str">
        <f>IMDIV(IMSUM(COMPLEX(0,2*PI()*O71*Constants!$B$61*Constants!$B$62),COMPLEX(1,0)),IMSUM(COMPLEX(0,2*PI()*O71*Constants!$B$61*Constants!$B$62),COMPLEX(2,0)))</f>
        <v>0.50000009065456+0.000212902023726665i</v>
      </c>
      <c r="AD71" s="18">
        <f t="shared" si="74"/>
        <v>0.50000013598182136</v>
      </c>
      <c r="AE71" s="18">
        <f t="shared" si="75"/>
        <v>4.2580394451715599E-4</v>
      </c>
      <c r="AF71" s="66" t="str">
        <f t="shared" si="76"/>
        <v>18.0714326542177-3.04285729821075i</v>
      </c>
      <c r="AG71" s="64">
        <f t="shared" si="77"/>
        <v>25.261268072284171</v>
      </c>
      <c r="AH71" s="61">
        <f t="shared" si="78"/>
        <v>-9.5577767310870279</v>
      </c>
      <c r="AI71" s="50" t="str">
        <f t="shared" si="55"/>
        <v>107.538871525172</v>
      </c>
      <c r="AJ71" s="50" t="str">
        <f t="shared" si="56"/>
        <v>1+0.158639686052658i</v>
      </c>
      <c r="AK71" s="50">
        <f t="shared" si="79"/>
        <v>1.0125050864024763</v>
      </c>
      <c r="AL71" s="50">
        <f t="shared" si="80"/>
        <v>0.15732862227533767</v>
      </c>
      <c r="AM71" s="50" t="str">
        <f t="shared" si="57"/>
        <v>1+0.000191611856094975i</v>
      </c>
      <c r="AN71" s="50">
        <f t="shared" si="81"/>
        <v>1.0000000183575515</v>
      </c>
      <c r="AO71" s="50">
        <f t="shared" si="82"/>
        <v>1.9161185374995867E-4</v>
      </c>
      <c r="AP71" s="50" t="str">
        <f t="shared" si="58"/>
        <v>1-0.000550917297650824i</v>
      </c>
      <c r="AQ71" s="50">
        <f t="shared" si="83"/>
        <v>1.0000001517549229</v>
      </c>
      <c r="AR71" s="50">
        <f t="shared" si="84"/>
        <v>-5.5091724191455517E-4</v>
      </c>
      <c r="AS71" s="59" t="str">
        <f t="shared" si="85"/>
        <v>104.892959247922-16.6788254259424i</v>
      </c>
      <c r="AT71" s="50">
        <f t="shared" si="86"/>
        <v>40.523366702105072</v>
      </c>
      <c r="AU71" s="61">
        <f t="shared" si="87"/>
        <v>-9.0348527352829198</v>
      </c>
      <c r="AV71" s="32" t="str">
        <f t="shared" si="59"/>
        <v>-0.0000333333333333333</v>
      </c>
      <c r="AW71" s="32" t="str">
        <f t="shared" si="60"/>
        <v>0.000010219298991732i</v>
      </c>
      <c r="AX71" s="32">
        <f t="shared" si="88"/>
        <v>1.0219298991732001E-5</v>
      </c>
      <c r="AY71" s="32">
        <f t="shared" si="89"/>
        <v>1.5707963267948966</v>
      </c>
      <c r="AZ71" s="32" t="str">
        <f t="shared" si="61"/>
        <v>1+0.00416933205391844i</v>
      </c>
      <c r="BA71" s="32">
        <f t="shared" si="90"/>
        <v>1.0000086916271158</v>
      </c>
      <c r="BB71" s="32">
        <f t="shared" si="91"/>
        <v>4.1693078952124013E-3</v>
      </c>
      <c r="BC71" s="32" t="str">
        <f t="shared" si="62"/>
        <v>1+0.200127938588086i</v>
      </c>
      <c r="BD71" s="32">
        <f t="shared" si="92"/>
        <v>1.0198290012563462</v>
      </c>
      <c r="BE71" s="32">
        <f t="shared" si="93"/>
        <v>0.19751857469581491</v>
      </c>
      <c r="BF71" s="59" t="str">
        <f t="shared" si="94"/>
        <v>-0.639167129887743+3.26446723696332i</v>
      </c>
      <c r="BG71" s="50">
        <f t="shared" si="95"/>
        <v>10.439624456760018</v>
      </c>
      <c r="BH71" s="61">
        <f t="shared" si="96"/>
        <v>101.07809695962347</v>
      </c>
      <c r="BI71" s="59" t="str">
        <f t="shared" si="97"/>
        <v>-1.61735778579225+60.9384941906381i</v>
      </c>
      <c r="BJ71" s="64">
        <f t="shared" si="98"/>
        <v>35.700892529044189</v>
      </c>
      <c r="BK71" s="61">
        <f t="shared" si="99"/>
        <v>91.520320228536434</v>
      </c>
      <c r="BL71" s="59" t="str">
        <f t="shared" si="105"/>
        <v>-12.5966525539065+353.080185830368i</v>
      </c>
      <c r="BM71" s="64">
        <f t="shared" si="101"/>
        <v>50.96299115886508</v>
      </c>
      <c r="BN71" s="61">
        <f t="shared" si="106"/>
        <v>92.043244224340526</v>
      </c>
      <c r="BO71" s="50">
        <f t="shared" si="103"/>
        <v>35.700892529044189</v>
      </c>
      <c r="BP71" s="61">
        <f t="shared" si="104"/>
        <v>91.520320228536434</v>
      </c>
    </row>
    <row r="72" spans="1:68" x14ac:dyDescent="0.25">
      <c r="A72" s="32" t="s">
        <v>377</v>
      </c>
      <c r="B72" s="32">
        <f>(B71*2*VOUT/DC_VIN_var_DCM)*(((VOUT/VIN_var)-1)/((2*VOUT/VIN_var)-1))</f>
        <v>107.53887152517245</v>
      </c>
      <c r="C72" s="32" t="s">
        <v>121</v>
      </c>
      <c r="N72" s="11">
        <v>54</v>
      </c>
      <c r="O72" s="51">
        <f t="shared" si="63"/>
        <v>34.67368504525318</v>
      </c>
      <c r="P72" s="49" t="str">
        <f t="shared" si="52"/>
        <v>37.1583961085025</v>
      </c>
      <c r="Q72" s="18" t="str">
        <f t="shared" si="64"/>
        <v>1+0.170761760213718i</v>
      </c>
      <c r="R72" s="18">
        <f t="shared" si="65"/>
        <v>1.014475026184128</v>
      </c>
      <c r="S72" s="18">
        <f t="shared" si="66"/>
        <v>0.16913042754321345</v>
      </c>
      <c r="T72" s="18" t="str">
        <f t="shared" si="53"/>
        <v>1+0.000196075069579896i</v>
      </c>
      <c r="U72" s="18">
        <f t="shared" si="67"/>
        <v>1.0000000192227163</v>
      </c>
      <c r="V72" s="18">
        <f t="shared" si="68"/>
        <v>1.9607506706716574E-4</v>
      </c>
      <c r="W72" s="32" t="str">
        <f t="shared" si="54"/>
        <v>1-0.00171622420566894i</v>
      </c>
      <c r="X72" s="18">
        <f t="shared" si="69"/>
        <v>1.0000014727116777</v>
      </c>
      <c r="Y72" s="18">
        <f t="shared" si="70"/>
        <v>-1.7162225206683909E-3</v>
      </c>
      <c r="Z72" s="32" t="str">
        <f t="shared" si="71"/>
        <v>0.999999969943389+0.000413210054040596i</v>
      </c>
      <c r="AA72" s="18">
        <f t="shared" si="72"/>
        <v>1.0000000553146622</v>
      </c>
      <c r="AB72" s="18">
        <f t="shared" si="73"/>
        <v>4.1321004294277792E-4</v>
      </c>
      <c r="AC72" s="32" t="str">
        <f>IMDIV(IMSUM(COMPLEX(0,2*PI()*O72*Constants!$B$61*Constants!$B$62),COMPLEX(1,0)),IMSUM(COMPLEX(0,2*PI()*O72*Constants!$B$61*Constants!$B$62),COMPLEX(2,0)))</f>
        <v>0.500000094926977+0.000217861147060299i</v>
      </c>
      <c r="AD72" s="18">
        <f t="shared" si="74"/>
        <v>0.5000001423904451</v>
      </c>
      <c r="AE72" s="18">
        <f t="shared" si="75"/>
        <v>4.3572218382250397E-4</v>
      </c>
      <c r="AF72" s="66" t="str">
        <f t="shared" si="76"/>
        <v>18.0481804330634-3.10976395998906i</v>
      </c>
      <c r="AG72" s="64">
        <f t="shared" si="77"/>
        <v>25.25572703321917</v>
      </c>
      <c r="AH72" s="61">
        <f t="shared" si="78"/>
        <v>-9.7762678681379942</v>
      </c>
      <c r="AI72" s="50" t="str">
        <f t="shared" si="55"/>
        <v>107.538871525172</v>
      </c>
      <c r="AJ72" s="50" t="str">
        <f t="shared" si="56"/>
        <v>1+0.162334879035304i</v>
      </c>
      <c r="AK72" s="50">
        <f t="shared" si="79"/>
        <v>1.0130906242540234</v>
      </c>
      <c r="AL72" s="50">
        <f t="shared" si="80"/>
        <v>0.16093102741904042</v>
      </c>
      <c r="AM72" s="50" t="str">
        <f t="shared" si="57"/>
        <v>1+0.000196075069579896i</v>
      </c>
      <c r="AN72" s="50">
        <f t="shared" si="81"/>
        <v>1.0000000192227163</v>
      </c>
      <c r="AO72" s="50">
        <f t="shared" si="82"/>
        <v>1.9607506706716574E-4</v>
      </c>
      <c r="AP72" s="50" t="str">
        <f t="shared" si="58"/>
        <v>1-0.000563749810012339i</v>
      </c>
      <c r="AQ72" s="50">
        <f t="shared" si="83"/>
        <v>1.0000001589069116</v>
      </c>
      <c r="AR72" s="50">
        <f t="shared" si="84"/>
        <v>-5.6374975028985151E-4</v>
      </c>
      <c r="AS72" s="59" t="str">
        <f t="shared" si="85"/>
        <v>104.77146298794-17.0476020971735i</v>
      </c>
      <c r="AT72" s="50">
        <f t="shared" si="86"/>
        <v>40.518345120804291</v>
      </c>
      <c r="AU72" s="61">
        <f t="shared" si="87"/>
        <v>-9.2417348713976217</v>
      </c>
      <c r="AV72" s="32" t="str">
        <f t="shared" si="59"/>
        <v>-0.0000333333333333333</v>
      </c>
      <c r="AW72" s="32" t="str">
        <f t="shared" si="60"/>
        <v>0.0000104573370442612i</v>
      </c>
      <c r="AX72" s="32">
        <f t="shared" si="88"/>
        <v>1.04573370442612E-5</v>
      </c>
      <c r="AY72" s="32">
        <f t="shared" si="89"/>
        <v>1.5707963267948966</v>
      </c>
      <c r="AZ72" s="32" t="str">
        <f t="shared" si="61"/>
        <v>1+0.00426644827326627i</v>
      </c>
      <c r="BA72" s="32">
        <f t="shared" si="90"/>
        <v>1.0000091012490178</v>
      </c>
      <c r="BB72" s="32">
        <f t="shared" si="91"/>
        <v>4.2664223867590846E-3</v>
      </c>
      <c r="BC72" s="32" t="str">
        <f t="shared" si="62"/>
        <v>1+0.204789517116781i</v>
      </c>
      <c r="BD72" s="32">
        <f t="shared" si="92"/>
        <v>1.0207540087214571</v>
      </c>
      <c r="BE72" s="32">
        <f t="shared" si="93"/>
        <v>0.20199659443900678</v>
      </c>
      <c r="BF72" s="59" t="str">
        <f t="shared" si="94"/>
        <v>-0.639166606258899+3.19028162234239i</v>
      </c>
      <c r="BG72" s="50">
        <f t="shared" si="95"/>
        <v>10.247495622180134</v>
      </c>
      <c r="BH72" s="61">
        <f t="shared" si="96"/>
        <v>101.32910434098942</v>
      </c>
      <c r="BI72" s="59" t="str">
        <f t="shared" si="97"/>
        <v>-1.61477142517361+59.5664356288941i</v>
      </c>
      <c r="BJ72" s="64">
        <f t="shared" si="98"/>
        <v>35.503222655399298</v>
      </c>
      <c r="BK72" s="61">
        <f t="shared" si="99"/>
        <v>91.552836472851439</v>
      </c>
      <c r="BL72" s="59" t="str">
        <f t="shared" si="105"/>
        <v>-12.5797687551633+345.146730893653i</v>
      </c>
      <c r="BM72" s="64">
        <f t="shared" si="101"/>
        <v>50.765840742984416</v>
      </c>
      <c r="BN72" s="61">
        <f t="shared" si="106"/>
        <v>92.08736946959182</v>
      </c>
      <c r="BO72" s="50">
        <f t="shared" si="103"/>
        <v>35.503222655399298</v>
      </c>
      <c r="BP72" s="61">
        <f t="shared" si="104"/>
        <v>91.552836472851439</v>
      </c>
    </row>
    <row r="73" spans="1:68" x14ac:dyDescent="0.25">
      <c r="A73" s="32" t="s">
        <v>401</v>
      </c>
      <c r="B73" s="32">
        <f>(IOUT_VAR*((2*VOUT)-VIN_var))/(Cout*VOUT*(VOUT-VIN_var))</f>
        <v>1342.0479302832241</v>
      </c>
      <c r="C73" s="32" t="s">
        <v>319</v>
      </c>
      <c r="N73" s="11">
        <v>55</v>
      </c>
      <c r="O73" s="51">
        <f t="shared" si="63"/>
        <v>35.481338923357555</v>
      </c>
      <c r="P73" s="49" t="str">
        <f t="shared" si="52"/>
        <v>37.1583961085025</v>
      </c>
      <c r="Q73" s="18" t="str">
        <f t="shared" si="64"/>
        <v>1+0.174739312576224i</v>
      </c>
      <c r="R73" s="18">
        <f t="shared" si="65"/>
        <v>1.0151521203049381</v>
      </c>
      <c r="S73" s="18">
        <f t="shared" si="66"/>
        <v>0.17299271415839254</v>
      </c>
      <c r="T73" s="18" t="str">
        <f t="shared" si="53"/>
        <v>1+0.000200642244662069i</v>
      </c>
      <c r="U73" s="18">
        <f t="shared" si="67"/>
        <v>1.000000020128655</v>
      </c>
      <c r="V73" s="18">
        <f t="shared" si="68"/>
        <v>2.0064224196963002E-4</v>
      </c>
      <c r="W73" s="32" t="str">
        <f t="shared" si="54"/>
        <v>1-0.00175620020284363i</v>
      </c>
      <c r="X73" s="18">
        <f t="shared" si="69"/>
        <v>1.0000015421183872</v>
      </c>
      <c r="Y73" s="18">
        <f t="shared" si="70"/>
        <v>-1.7561983973331627E-3</v>
      </c>
      <c r="Z73" s="32" t="str">
        <f t="shared" si="71"/>
        <v>0.999999968526865+0.000422834952639693i</v>
      </c>
      <c r="AA73" s="18">
        <f t="shared" si="72"/>
        <v>1.0000000579215624</v>
      </c>
      <c r="AB73" s="18">
        <f t="shared" si="73"/>
        <v>4.2283494074816651E-4</v>
      </c>
      <c r="AC73" s="32" t="str">
        <f>IMDIV(IMSUM(COMPLEX(0,2*PI()*O73*Constants!$B$61*Constants!$B$62),COMPLEX(1,0)),IMSUM(COMPLEX(0,2*PI()*O73*Constants!$B$61*Constants!$B$62),COMPLEX(2,0)))</f>
        <v>0.500000099400747+0.000222935783082324i</v>
      </c>
      <c r="AD73" s="18">
        <f t="shared" si="74"/>
        <v>0.50000014910109802</v>
      </c>
      <c r="AE73" s="18">
        <f t="shared" si="75"/>
        <v>4.4587144797811486E-4</v>
      </c>
      <c r="AF73" s="66" t="str">
        <f t="shared" si="76"/>
        <v>18.0238958449276-3.17795619613081i</v>
      </c>
      <c r="AG73" s="64">
        <f t="shared" si="77"/>
        <v>25.249932422186198</v>
      </c>
      <c r="AH73" s="61">
        <f t="shared" si="78"/>
        <v>-9.9995593156478986</v>
      </c>
      <c r="AI73" s="50" t="str">
        <f t="shared" si="55"/>
        <v>107.538871525172</v>
      </c>
      <c r="AJ73" s="50" t="str">
        <f t="shared" si="56"/>
        <v>1+0.166116144119571i</v>
      </c>
      <c r="AK73" s="50">
        <f t="shared" si="79"/>
        <v>1.0137033951492684</v>
      </c>
      <c r="AL73" s="50">
        <f t="shared" si="80"/>
        <v>0.16461298608325897</v>
      </c>
      <c r="AM73" s="50" t="str">
        <f t="shared" si="57"/>
        <v>1+0.000200642244662069i</v>
      </c>
      <c r="AN73" s="50">
        <f t="shared" si="81"/>
        <v>1.000000020128655</v>
      </c>
      <c r="AO73" s="50">
        <f t="shared" si="82"/>
        <v>2.0064224196963002E-4</v>
      </c>
      <c r="AP73" s="50" t="str">
        <f t="shared" si="58"/>
        <v>1-0.000576881229985233i</v>
      </c>
      <c r="AQ73" s="50">
        <f t="shared" si="83"/>
        <v>1.000000166395963</v>
      </c>
      <c r="AR73" s="50">
        <f t="shared" si="84"/>
        <v>-5.7688116599143534E-4</v>
      </c>
      <c r="AS73" s="59" t="str">
        <f t="shared" si="85"/>
        <v>104.644541389084-17.4236080346209i</v>
      </c>
      <c r="AT73" s="50">
        <f t="shared" si="86"/>
        <v>40.513093095600034</v>
      </c>
      <c r="AU73" s="61">
        <f t="shared" si="87"/>
        <v>-9.4531862580514776</v>
      </c>
      <c r="AV73" s="32" t="str">
        <f t="shared" si="59"/>
        <v>-0.0000333333333333333</v>
      </c>
      <c r="AW73" s="32" t="str">
        <f t="shared" si="60"/>
        <v>0.0000107009197153104i</v>
      </c>
      <c r="AX73" s="32">
        <f t="shared" si="88"/>
        <v>1.0700919715310399E-5</v>
      </c>
      <c r="AY73" s="32">
        <f t="shared" si="89"/>
        <v>1.5707963267948966</v>
      </c>
      <c r="AZ73" s="32" t="str">
        <f t="shared" si="61"/>
        <v>1+0.00436582661996169i</v>
      </c>
      <c r="BA73" s="32">
        <f t="shared" si="90"/>
        <v>1.0000095301756255</v>
      </c>
      <c r="BB73" s="32">
        <f t="shared" si="91"/>
        <v>4.3657988820837729E-3</v>
      </c>
      <c r="BC73" s="32" t="str">
        <f t="shared" si="62"/>
        <v>1+0.209559677758162i</v>
      </c>
      <c r="BD73" s="32">
        <f t="shared" si="92"/>
        <v>1.0217217128661331</v>
      </c>
      <c r="BE73" s="32">
        <f t="shared" si="93"/>
        <v>0.20657043268832417</v>
      </c>
      <c r="BF73" s="59" t="str">
        <f t="shared" si="94"/>
        <v>-0.639166057953116+3.1177875370554i</v>
      </c>
      <c r="BG73" s="50">
        <f t="shared" si="95"/>
        <v>10.055722468889165</v>
      </c>
      <c r="BH73" s="61">
        <f t="shared" si="96"/>
        <v>101.58547211508589</v>
      </c>
      <c r="BI73" s="59" t="str">
        <f t="shared" si="97"/>
        <v>-1.6120702345553+58.2259195687285i</v>
      </c>
      <c r="BJ73" s="64">
        <f t="shared" si="98"/>
        <v>35.305654891075363</v>
      </c>
      <c r="BK73" s="61">
        <f t="shared" si="99"/>
        <v>91.585912799438006</v>
      </c>
      <c r="BL73" s="59" t="str">
        <f t="shared" si="105"/>
        <v>-12.5621310250931+337.396025826573i</v>
      </c>
      <c r="BM73" s="64">
        <f t="shared" si="101"/>
        <v>50.568815564489199</v>
      </c>
      <c r="BN73" s="61">
        <f t="shared" si="106"/>
        <v>92.132285857034418</v>
      </c>
      <c r="BO73" s="50">
        <f t="shared" si="103"/>
        <v>35.305654891075363</v>
      </c>
      <c r="BP73" s="61">
        <f t="shared" si="104"/>
        <v>91.585912799438006</v>
      </c>
    </row>
    <row r="74" spans="1:68" x14ac:dyDescent="0.25">
      <c r="A74" s="32"/>
      <c r="B74" s="32">
        <f>B73/(2*PI())</f>
        <v>213.59356197082246</v>
      </c>
      <c r="C74" s="32" t="s">
        <v>48</v>
      </c>
      <c r="N74" s="11">
        <v>56</v>
      </c>
      <c r="O74" s="51">
        <f t="shared" si="63"/>
        <v>36.307805477010156</v>
      </c>
      <c r="P74" s="49" t="str">
        <f t="shared" si="52"/>
        <v>37.1583961085025</v>
      </c>
      <c r="Q74" s="18" t="str">
        <f t="shared" si="64"/>
        <v>1+0.178809514035207i</v>
      </c>
      <c r="R74" s="18">
        <f t="shared" si="65"/>
        <v>1.0158606411853484</v>
      </c>
      <c r="S74" s="18">
        <f t="shared" si="66"/>
        <v>0.17693957462379128</v>
      </c>
      <c r="T74" s="18" t="str">
        <f t="shared" si="53"/>
        <v>1+0.000205315802918177i</v>
      </c>
      <c r="U74" s="18">
        <f t="shared" si="67"/>
        <v>1.0000000210772892</v>
      </c>
      <c r="V74" s="18">
        <f t="shared" si="68"/>
        <v>2.0531580003317666E-4</v>
      </c>
      <c r="W74" s="32" t="str">
        <f t="shared" si="54"/>
        <v>1-0.00179710736061193i</v>
      </c>
      <c r="X74" s="18">
        <f t="shared" si="69"/>
        <v>1.000001614796129</v>
      </c>
      <c r="Y74" s="18">
        <f t="shared" si="70"/>
        <v>-1.7971054259727772E-3</v>
      </c>
      <c r="Z74" s="32" t="str">
        <f t="shared" si="71"/>
        <v>0.999999967043582+0.000432684043927564i</v>
      </c>
      <c r="AA74" s="18">
        <f t="shared" si="72"/>
        <v>1.0000000606513215</v>
      </c>
      <c r="AB74" s="18">
        <f t="shared" si="73"/>
        <v>4.3268403118556386E-4</v>
      </c>
      <c r="AC74" s="32" t="str">
        <f>IMDIV(IMSUM(COMPLEX(0,2*PI()*O74*Constants!$B$61*Constants!$B$62),COMPLEX(1,0)),IMSUM(COMPLEX(0,2*PI()*O74*Constants!$B$61*Constants!$B$62),COMPLEX(2,0)))</f>
        <v>0.500000104085358+0.000228128622419376i</v>
      </c>
      <c r="AD74" s="18">
        <f t="shared" si="74"/>
        <v>0.50000015612801285</v>
      </c>
      <c r="AE74" s="18">
        <f t="shared" si="75"/>
        <v>4.5625711819960549E-4</v>
      </c>
      <c r="AF74" s="66" t="str">
        <f t="shared" si="76"/>
        <v>17.9985360816945-3.24744573883305i</v>
      </c>
      <c r="AG74" s="64">
        <f t="shared" si="77"/>
        <v>25.243872996830603</v>
      </c>
      <c r="AH74" s="61">
        <f t="shared" si="78"/>
        <v>-10.227743043826324</v>
      </c>
      <c r="AI74" s="50" t="str">
        <f t="shared" si="55"/>
        <v>107.538871525172</v>
      </c>
      <c r="AJ74" s="50" t="str">
        <f t="shared" si="56"/>
        <v>1+0.169985486182257i</v>
      </c>
      <c r="AK74" s="50">
        <f t="shared" si="79"/>
        <v>1.014344648289041</v>
      </c>
      <c r="AL74" s="50">
        <f t="shared" si="80"/>
        <v>0.16837605096369579</v>
      </c>
      <c r="AM74" s="50" t="str">
        <f t="shared" si="57"/>
        <v>1+0.000205315802918177i</v>
      </c>
      <c r="AN74" s="50">
        <f t="shared" si="81"/>
        <v>1.0000000210772892</v>
      </c>
      <c r="AO74" s="50">
        <f t="shared" si="82"/>
        <v>2.0531580003317666E-4</v>
      </c>
      <c r="AP74" s="50" t="str">
        <f t="shared" si="58"/>
        <v>1-0.000590318520022193i</v>
      </c>
      <c r="AQ74" s="50">
        <f t="shared" si="83"/>
        <v>1.0000001742379623</v>
      </c>
      <c r="AR74" s="50">
        <f t="shared" si="84"/>
        <v>-5.9031845145160401E-4</v>
      </c>
      <c r="AS74" s="59" t="str">
        <f t="shared" si="85"/>
        <v>104.511966570265-17.8069202070418i</v>
      </c>
      <c r="AT74" s="50">
        <f t="shared" si="86"/>
        <v>40.507600349231879</v>
      </c>
      <c r="AU74" s="61">
        <f t="shared" si="87"/>
        <v>-9.6692961183270594</v>
      </c>
      <c r="AV74" s="32" t="str">
        <f t="shared" si="59"/>
        <v>-0.0000333333333333333</v>
      </c>
      <c r="AW74" s="32" t="str">
        <f t="shared" si="60"/>
        <v>0.0000109501761556361i</v>
      </c>
      <c r="AX74" s="32">
        <f t="shared" si="88"/>
        <v>1.09501761556361E-5</v>
      </c>
      <c r="AY74" s="32">
        <f t="shared" si="89"/>
        <v>1.5707963267948966</v>
      </c>
      <c r="AZ74" s="32" t="str">
        <f t="shared" si="61"/>
        <v>1+0.00446751978571959i</v>
      </c>
      <c r="BA74" s="32">
        <f t="shared" si="90"/>
        <v>1.0000099793167245</v>
      </c>
      <c r="BB74" s="32">
        <f t="shared" si="91"/>
        <v>4.467490064063934E-3</v>
      </c>
      <c r="BC74" s="32" t="str">
        <f t="shared" si="62"/>
        <v>1+0.21444094971454i</v>
      </c>
      <c r="BD74" s="32">
        <f t="shared" si="92"/>
        <v>1.0227340421216427</v>
      </c>
      <c r="BE74" s="32">
        <f t="shared" si="93"/>
        <v>0.21124174871627846</v>
      </c>
      <c r="BF74" s="59" t="str">
        <f t="shared" si="94"/>
        <v>-0.639165483807483+3.04694654376365i</v>
      </c>
      <c r="BG74" s="50">
        <f t="shared" si="95"/>
        <v>9.8643203492997564</v>
      </c>
      <c r="BH74" s="61">
        <f t="shared" si="96"/>
        <v>101.84729233271835</v>
      </c>
      <c r="BI74" s="59" t="str">
        <f t="shared" si="97"/>
        <v>-1.60924945248535+56.9162325337242i</v>
      </c>
      <c r="BJ74" s="64">
        <f t="shared" si="98"/>
        <v>35.108193346130363</v>
      </c>
      <c r="BK74" s="61">
        <f t="shared" si="99"/>
        <v>91.619549288892031</v>
      </c>
      <c r="BL74" s="59" t="str">
        <f t="shared" si="105"/>
        <v>-12.5437076966338+329.823944092466i</v>
      </c>
      <c r="BM74" s="64">
        <f t="shared" si="101"/>
        <v>50.371920698531632</v>
      </c>
      <c r="BN74" s="61">
        <f t="shared" si="106"/>
        <v>92.1779962143913</v>
      </c>
      <c r="BO74" s="50">
        <f t="shared" si="103"/>
        <v>35.108193346130363</v>
      </c>
      <c r="BP74" s="61">
        <f t="shared" si="104"/>
        <v>91.619549288892031</v>
      </c>
    </row>
    <row r="75" spans="1:68" x14ac:dyDescent="0.25">
      <c r="A75" s="32" t="s">
        <v>380</v>
      </c>
      <c r="B75" s="32">
        <f>1/(Cout*Resr)</f>
        <v>1111111.1111111112</v>
      </c>
      <c r="C75" s="32" t="s">
        <v>319</v>
      </c>
      <c r="N75" s="11">
        <v>57</v>
      </c>
      <c r="O75" s="51">
        <f t="shared" si="63"/>
        <v>37.15352290971726</v>
      </c>
      <c r="P75" s="49" t="str">
        <f t="shared" si="52"/>
        <v>37.1583961085025</v>
      </c>
      <c r="Q75" s="18" t="str">
        <f t="shared" si="64"/>
        <v>1+0.182974522665354i</v>
      </c>
      <c r="R75" s="18">
        <f t="shared" si="65"/>
        <v>1.0166020243657861</v>
      </c>
      <c r="S75" s="18">
        <f t="shared" si="66"/>
        <v>0.18097260950853139</v>
      </c>
      <c r="T75" s="18" t="str">
        <f t="shared" si="53"/>
        <v>1+0.000210098222330667i</v>
      </c>
      <c r="U75" s="18">
        <f t="shared" si="67"/>
        <v>1.0000000220706313</v>
      </c>
      <c r="V75" s="18">
        <f t="shared" si="68"/>
        <v>2.1009821923933345E-4</v>
      </c>
      <c r="W75" s="32" t="str">
        <f t="shared" si="54"/>
        <v>1-0.00183896736849035i</v>
      </c>
      <c r="X75" s="18">
        <f t="shared" si="69"/>
        <v>1.0000016908990617</v>
      </c>
      <c r="Y75" s="18">
        <f t="shared" si="70"/>
        <v>-1.8389652954873385E-3</v>
      </c>
      <c r="Z75" s="32" t="str">
        <f t="shared" si="71"/>
        <v>0.999999965490393+0.000442762550022774i</v>
      </c>
      <c r="AA75" s="18">
        <f t="shared" si="72"/>
        <v>1.0000000635097295</v>
      </c>
      <c r="AB75" s="18">
        <f t="shared" si="73"/>
        <v>4.4276253636947518E-4</v>
      </c>
      <c r="AC75" s="32" t="str">
        <f>IMDIV(IMSUM(COMPLEX(0,2*PI()*O75*Constants!$B$61*Constants!$B$62),COMPLEX(1,0)),IMSUM(COMPLEX(0,2*PI()*O75*Constants!$B$61*Constants!$B$62),COMPLEX(2,0)))</f>
        <v>0.500000108990749+0.000233442418370157i</v>
      </c>
      <c r="AD75" s="18">
        <f t="shared" si="74"/>
        <v>0.50000016348609688</v>
      </c>
      <c r="AE75" s="18">
        <f t="shared" si="75"/>
        <v>4.6688470104402869E-4</v>
      </c>
      <c r="AF75" s="66" t="str">
        <f t="shared" si="76"/>
        <v>17.9720568422767-3.31824344169936i</v>
      </c>
      <c r="AG75" s="64">
        <f t="shared" si="77"/>
        <v>25.237537050104756</v>
      </c>
      <c r="AH75" s="61">
        <f t="shared" si="78"/>
        <v>-10.460911842936232</v>
      </c>
      <c r="AI75" s="50" t="str">
        <f t="shared" si="55"/>
        <v>107.538871525172</v>
      </c>
      <c r="AJ75" s="50" t="str">
        <f t="shared" si="56"/>
        <v>1+0.173944956799741i</v>
      </c>
      <c r="AK75" s="50">
        <f t="shared" si="79"/>
        <v>1.0150156885467652</v>
      </c>
      <c r="AL75" s="50">
        <f t="shared" si="80"/>
        <v>0.17222179077268313</v>
      </c>
      <c r="AM75" s="50" t="str">
        <f t="shared" si="57"/>
        <v>1+0.000210098222330667i</v>
      </c>
      <c r="AN75" s="50">
        <f t="shared" si="81"/>
        <v>1.0000000220706313</v>
      </c>
      <c r="AO75" s="50">
        <f t="shared" si="82"/>
        <v>2.1009821923933345E-4</v>
      </c>
      <c r="AP75" s="50" t="str">
        <f t="shared" si="58"/>
        <v>1-0.000604068804752256i</v>
      </c>
      <c r="AQ75" s="50">
        <f t="shared" si="83"/>
        <v>1.0000001824495439</v>
      </c>
      <c r="AR75" s="50">
        <f t="shared" si="84"/>
        <v>-6.0406873127754679E-4</v>
      </c>
      <c r="AS75" s="59" t="str">
        <f t="shared" si="85"/>
        <v>104.373502423301-18.1976115219064i</v>
      </c>
      <c r="AT75" s="50">
        <f t="shared" si="86"/>
        <v>40.501856173984962</v>
      </c>
      <c r="AU75" s="61">
        <f t="shared" si="87"/>
        <v>-9.8901545990521971</v>
      </c>
      <c r="AV75" s="32" t="str">
        <f t="shared" si="59"/>
        <v>-0.0000333333333333333</v>
      </c>
      <c r="AW75" s="32" t="str">
        <f t="shared" si="60"/>
        <v>0.0000112052385243022i</v>
      </c>
      <c r="AX75" s="32">
        <f t="shared" si="88"/>
        <v>1.12052385243022E-5</v>
      </c>
      <c r="AY75" s="32">
        <f t="shared" si="89"/>
        <v>1.5707963267948966</v>
      </c>
      <c r="AZ75" s="32" t="str">
        <f t="shared" si="61"/>
        <v>1+0.00457158168960247i</v>
      </c>
      <c r="BA75" s="32">
        <f t="shared" si="90"/>
        <v>1.0000104496249749</v>
      </c>
      <c r="BB75" s="32">
        <f t="shared" si="91"/>
        <v>4.5715498422926248E-3</v>
      </c>
      <c r="BC75" s="32" t="str">
        <f t="shared" si="62"/>
        <v>1+0.219435921100919i</v>
      </c>
      <c r="BD75" s="32">
        <f t="shared" si="92"/>
        <v>1.0237930081170747</v>
      </c>
      <c r="BE75" s="32">
        <f t="shared" si="93"/>
        <v>0.21601220346749253</v>
      </c>
      <c r="BF75" s="59" t="str">
        <f t="shared" si="94"/>
        <v>-0.639164882604309+2.97772108161869i</v>
      </c>
      <c r="BG75" s="50">
        <f t="shared" si="95"/>
        <v>9.6733052122667349</v>
      </c>
      <c r="BH75" s="61">
        <f t="shared" si="96"/>
        <v>102.11465707021148</v>
      </c>
      <c r="BI75" s="59" t="str">
        <f t="shared" si="97"/>
        <v>-1.60630415146061+55.636677219163i</v>
      </c>
      <c r="BJ75" s="64">
        <f t="shared" si="98"/>
        <v>34.910842262371482</v>
      </c>
      <c r="BK75" s="61">
        <f t="shared" si="99"/>
        <v>91.653745227275252</v>
      </c>
      <c r="BL75" s="59" t="str">
        <f t="shared" si="105"/>
        <v>-12.5244659595019+322.426452760321i</v>
      </c>
      <c r="BM75" s="64">
        <f t="shared" si="101"/>
        <v>50.175161386251695</v>
      </c>
      <c r="BN75" s="61">
        <f t="shared" si="106"/>
        <v>92.224502471159298</v>
      </c>
      <c r="BO75" s="50">
        <f t="shared" si="103"/>
        <v>34.910842262371482</v>
      </c>
      <c r="BP75" s="61">
        <f t="shared" si="104"/>
        <v>91.653745227275252</v>
      </c>
    </row>
    <row r="76" spans="1:68" x14ac:dyDescent="0.25">
      <c r="A76" s="32"/>
      <c r="B76" s="32">
        <f>B75/(2*PI())</f>
        <v>176838.82565766151</v>
      </c>
      <c r="C76" s="32" t="s">
        <v>48</v>
      </c>
      <c r="N76" s="11">
        <v>58</v>
      </c>
      <c r="O76" s="51">
        <f t="shared" si="63"/>
        <v>38.018939632056139</v>
      </c>
      <c r="P76" s="49" t="str">
        <f t="shared" si="52"/>
        <v>37.1583961085025</v>
      </c>
      <c r="Q76" s="18" t="str">
        <f t="shared" si="64"/>
        <v>1+0.187236546809373i</v>
      </c>
      <c r="R76" s="18">
        <f t="shared" si="65"/>
        <v>1.0173777688062082</v>
      </c>
      <c r="S76" s="18">
        <f t="shared" si="66"/>
        <v>0.18509343213186735</v>
      </c>
      <c r="T76" s="18" t="str">
        <f t="shared" si="53"/>
        <v>1+0.000214992038601615i</v>
      </c>
      <c r="U76" s="18">
        <f t="shared" si="67"/>
        <v>1.000000023110788</v>
      </c>
      <c r="V76" s="18">
        <f t="shared" si="68"/>
        <v>2.1499203528919141E-4</v>
      </c>
      <c r="W76" s="32" t="str">
        <f t="shared" si="54"/>
        <v>1-0.00188180242120915i</v>
      </c>
      <c r="X76" s="18">
        <f t="shared" si="69"/>
        <v>1.0000017705886088</v>
      </c>
      <c r="Y76" s="18">
        <f t="shared" si="70"/>
        <v>-1.8818001999466158E-3</v>
      </c>
      <c r="Z76" s="32" t="str">
        <f t="shared" si="71"/>
        <v>0.999999963864006+0.000453075814682662i</v>
      </c>
      <c r="AA76" s="18">
        <f t="shared" si="72"/>
        <v>1.0000000665028512</v>
      </c>
      <c r="AB76" s="18">
        <f t="shared" si="73"/>
        <v>4.5307580005288846E-4</v>
      </c>
      <c r="AC76" s="32" t="str">
        <f>IMDIV(IMSUM(COMPLEX(0,2*PI()*O76*Constants!$B$61*Constants!$B$62),COMPLEX(1,0)),IMSUM(COMPLEX(0,2*PI()*O76*Constants!$B$61*Constants!$B$62),COMPLEX(2,0)))</f>
        <v>0.500000114127324+0.000238879988365203i</v>
      </c>
      <c r="AD76" s="18">
        <f t="shared" si="74"/>
        <v>0.50000017119095652</v>
      </c>
      <c r="AE76" s="18">
        <f t="shared" si="75"/>
        <v>4.7775983132922201E-4</v>
      </c>
      <c r="AF76" s="66" t="str">
        <f t="shared" si="76"/>
        <v>17.9444123073468-3.39035919388469i</v>
      </c>
      <c r="AG76" s="64">
        <f t="shared" si="77"/>
        <v>25.230912394202939</v>
      </c>
      <c r="AH76" s="61">
        <f t="shared" si="78"/>
        <v>-10.699159259026461</v>
      </c>
      <c r="AI76" s="50" t="str">
        <f t="shared" si="55"/>
        <v>107.538871525172</v>
      </c>
      <c r="AJ76" s="50" t="str">
        <f t="shared" si="56"/>
        <v>1+0.177996655335753i</v>
      </c>
      <c r="AK76" s="50">
        <f t="shared" si="79"/>
        <v>1.0157178787983969</v>
      </c>
      <c r="AL76" s="50">
        <f t="shared" si="80"/>
        <v>0.17615178932548223</v>
      </c>
      <c r="AM76" s="50" t="str">
        <f t="shared" si="57"/>
        <v>1+0.000214992038601615i</v>
      </c>
      <c r="AN76" s="50">
        <f t="shared" si="81"/>
        <v>1.000000023110788</v>
      </c>
      <c r="AO76" s="50">
        <f t="shared" si="82"/>
        <v>2.1499203528919141E-4</v>
      </c>
      <c r="AP76" s="50" t="str">
        <f t="shared" si="58"/>
        <v>1-0.000618139374758394i</v>
      </c>
      <c r="AQ76" s="50">
        <f t="shared" si="83"/>
        <v>1.0000001910481251</v>
      </c>
      <c r="AR76" s="50">
        <f t="shared" si="84"/>
        <v>-6.1813929602882545E-4</v>
      </c>
      <c r="AS76" s="59" t="str">
        <f t="shared" si="85"/>
        <v>104.228904443698-18.5957503898768i</v>
      </c>
      <c r="AT76" s="50">
        <f t="shared" si="86"/>
        <v>40.495849416265173</v>
      </c>
      <c r="AU76" s="61">
        <f t="shared" si="87"/>
        <v>-10.115852718590439</v>
      </c>
      <c r="AV76" s="32" t="str">
        <f t="shared" si="59"/>
        <v>-0.0000333333333333333</v>
      </c>
      <c r="AW76" s="32" t="str">
        <f t="shared" si="60"/>
        <v>0.0000114662420587528i</v>
      </c>
      <c r="AX76" s="32">
        <f t="shared" si="88"/>
        <v>1.1466242058752799E-5</v>
      </c>
      <c r="AY76" s="32">
        <f t="shared" si="89"/>
        <v>1.5707963267948966</v>
      </c>
      <c r="AZ76" s="32" t="str">
        <f t="shared" si="61"/>
        <v>1+0.00467806750660921i</v>
      </c>
      <c r="BA76" s="32">
        <f t="shared" si="90"/>
        <v>1.0000109420979335</v>
      </c>
      <c r="BB76" s="32">
        <f t="shared" si="91"/>
        <v>4.6780333816220576E-3</v>
      </c>
      <c r="BC76" s="32" t="str">
        <f t="shared" si="62"/>
        <v>1+0.224547240317243i</v>
      </c>
      <c r="BD76" s="32">
        <f t="shared" si="92"/>
        <v>1.0249007089148146</v>
      </c>
      <c r="BE76" s="32">
        <f t="shared" si="93"/>
        <v>0.22088345740115412</v>
      </c>
      <c r="BF76" s="59" t="str">
        <f t="shared" si="94"/>
        <v>-0.639164253068509+2.91007444634687i</v>
      </c>
      <c r="BG76" s="50">
        <f t="shared" si="95"/>
        <v>9.4826936201820704</v>
      </c>
      <c r="BH76" s="61">
        <f t="shared" si="96"/>
        <v>102.38765830415558</v>
      </c>
      <c r="BI76" s="59" t="str">
        <f t="shared" si="97"/>
        <v>-1.60322923511767+54.3865721121155i</v>
      </c>
      <c r="BJ76" s="64">
        <f t="shared" si="98"/>
        <v>34.713606014385022</v>
      </c>
      <c r="BK76" s="61">
        <f t="shared" si="99"/>
        <v>91.688499045129106</v>
      </c>
      <c r="BL76" s="59" t="str">
        <f t="shared" si="105"/>
        <v>-12.5043718366799+315.199610300529i</v>
      </c>
      <c r="BM76" s="64">
        <f t="shared" si="101"/>
        <v>49.978543036447235</v>
      </c>
      <c r="BN76" s="61">
        <f t="shared" si="106"/>
        <v>92.271805585565133</v>
      </c>
      <c r="BO76" s="50">
        <f t="shared" si="103"/>
        <v>34.713606014385022</v>
      </c>
      <c r="BP76" s="61">
        <f t="shared" si="104"/>
        <v>91.688499045129106</v>
      </c>
    </row>
    <row r="77" spans="1:68" x14ac:dyDescent="0.25">
      <c r="A77" s="32" t="s">
        <v>381</v>
      </c>
      <c r="B77" s="32">
        <f>2*Fsw/(DC_VIN_var_DCM)</f>
        <v>386450.13187204167</v>
      </c>
      <c r="C77" s="32" t="s">
        <v>319</v>
      </c>
      <c r="N77" s="11">
        <v>59</v>
      </c>
      <c r="O77" s="51">
        <f t="shared" si="63"/>
        <v>38.904514499428053</v>
      </c>
      <c r="P77" s="49" t="str">
        <f t="shared" si="52"/>
        <v>37.1583961085025</v>
      </c>
      <c r="Q77" s="18" t="str">
        <f t="shared" si="64"/>
        <v>1+0.191597846248879i</v>
      </c>
      <c r="R77" s="18">
        <f t="shared" si="65"/>
        <v>1.01818943948914</v>
      </c>
      <c r="S77" s="18">
        <f t="shared" si="66"/>
        <v>0.1893036673230416</v>
      </c>
      <c r="T77" s="18" t="str">
        <f t="shared" si="53"/>
        <v>1+0.000219999846497186i</v>
      </c>
      <c r="U77" s="18">
        <f t="shared" si="67"/>
        <v>1.000000024199966</v>
      </c>
      <c r="V77" s="18">
        <f t="shared" si="68"/>
        <v>2.1999984294786021E-4</v>
      </c>
      <c r="W77" s="32" t="str">
        <f t="shared" si="54"/>
        <v>1-0.00192563523048028i</v>
      </c>
      <c r="X77" s="18">
        <f t="shared" si="69"/>
        <v>1.0000018540338018</v>
      </c>
      <c r="Y77" s="18">
        <f t="shared" si="70"/>
        <v>-1.9256328503548309E-3</v>
      </c>
      <c r="Z77" s="32" t="str">
        <f t="shared" si="71"/>
        <v>0.999999962160969+0.000463629306136661i</v>
      </c>
      <c r="AA77" s="18">
        <f t="shared" si="72"/>
        <v>1.0000000696370341</v>
      </c>
      <c r="AB77" s="18">
        <f t="shared" si="73"/>
        <v>4.636292904605764E-4</v>
      </c>
      <c r="AC77" s="32" t="str">
        <f>IMDIV(IMSUM(COMPLEX(0,2*PI()*O77*Constants!$B$61*Constants!$B$62),COMPLEX(1,0)),IMSUM(COMPLEX(0,2*PI()*O77*Constants!$B$61*Constants!$B$62),COMPLEX(2,0)))</f>
        <v>0.500000119505978+0.000244444215460658i</v>
      </c>
      <c r="AD77" s="18">
        <f t="shared" si="74"/>
        <v>0.5000001792589347</v>
      </c>
      <c r="AE77" s="18">
        <f t="shared" si="75"/>
        <v>4.8888827512114682E-4</v>
      </c>
      <c r="AF77" s="66" t="str">
        <f t="shared" si="76"/>
        <v>17.915555116475-3.4638018294084i</v>
      </c>
      <c r="AG77" s="64">
        <f t="shared" si="77"/>
        <v>25.223986344238632</v>
      </c>
      <c r="AH77" s="61">
        <f t="shared" si="78"/>
        <v>-10.942579523465666</v>
      </c>
      <c r="AI77" s="50" t="str">
        <f t="shared" si="55"/>
        <v>107.538871525172</v>
      </c>
      <c r="AJ77" s="50" t="str">
        <f t="shared" si="56"/>
        <v>1+0.182142730054489i</v>
      </c>
      <c r="AK77" s="50">
        <f t="shared" si="79"/>
        <v>1.0164526423359341</v>
      </c>
      <c r="AL77" s="50">
        <f t="shared" si="80"/>
        <v>0.18016764453078779</v>
      </c>
      <c r="AM77" s="50" t="str">
        <f t="shared" si="57"/>
        <v>1+0.000219999846497186i</v>
      </c>
      <c r="AN77" s="50">
        <f t="shared" si="81"/>
        <v>1.000000024199966</v>
      </c>
      <c r="AO77" s="50">
        <f t="shared" si="82"/>
        <v>2.1999984294786021E-4</v>
      </c>
      <c r="AP77" s="50" t="str">
        <f t="shared" si="58"/>
        <v>1-0.000632537690443072i</v>
      </c>
      <c r="AQ77" s="50">
        <f t="shared" si="83"/>
        <v>1.0000002000519448</v>
      </c>
      <c r="AR77" s="50">
        <f t="shared" si="84"/>
        <v>-6.325376060828204E-4</v>
      </c>
      <c r="AS77" s="59" t="str">
        <f t="shared" si="85"/>
        <v>104.077919571271-19.0014002633022i</v>
      </c>
      <c r="AT77" s="50">
        <f t="shared" si="86"/>
        <v>40.489568460870878</v>
      </c>
      <c r="AU77" s="61">
        <f t="shared" si="87"/>
        <v>-10.346482309144813</v>
      </c>
      <c r="AV77" s="32" t="str">
        <f t="shared" si="59"/>
        <v>-0.0000333333333333333</v>
      </c>
      <c r="AW77" s="32" t="str">
        <f t="shared" si="60"/>
        <v>0.0000117333251465166i</v>
      </c>
      <c r="AX77" s="32">
        <f t="shared" si="88"/>
        <v>1.17333251465166E-5</v>
      </c>
      <c r="AY77" s="32">
        <f t="shared" si="89"/>
        <v>1.5707963267948966</v>
      </c>
      <c r="AZ77" s="32" t="str">
        <f t="shared" si="61"/>
        <v>1+0.00478703369692951i</v>
      </c>
      <c r="BA77" s="32">
        <f t="shared" si="90"/>
        <v>1.0000114577801675</v>
      </c>
      <c r="BB77" s="32">
        <f t="shared" si="91"/>
        <v>4.7869971313696134E-3</v>
      </c>
      <c r="BC77" s="32" t="str">
        <f t="shared" si="62"/>
        <v>1+0.229777617452617i</v>
      </c>
      <c r="BD77" s="32">
        <f t="shared" si="92"/>
        <v>1.0260593323400948</v>
      </c>
      <c r="BE77" s="32">
        <f t="shared" si="93"/>
        <v>0.22585716817477075</v>
      </c>
      <c r="BF77" s="59" t="str">
        <f t="shared" si="94"/>
        <v>-0.639163593864933+2.84397077078824i</v>
      </c>
      <c r="BG77" s="50">
        <f t="shared" si="95"/>
        <v>9.2925027659827482</v>
      </c>
      <c r="BH77" s="61">
        <f t="shared" si="96"/>
        <v>102.66638777702214</v>
      </c>
      <c r="BI77" s="59" t="str">
        <f t="shared" si="97"/>
        <v>-1.60001943569113+53.1652511194212i</v>
      </c>
      <c r="BJ77" s="64">
        <f t="shared" si="98"/>
        <v>34.516489110221386</v>
      </c>
      <c r="BK77" s="61">
        <f t="shared" si="99"/>
        <v>91.72380825355647</v>
      </c>
      <c r="BL77" s="59" t="str">
        <f t="shared" si="105"/>
        <v>-12.4833901622796+308.139564425902i</v>
      </c>
      <c r="BM77" s="64">
        <f t="shared" si="101"/>
        <v>49.782071226853617</v>
      </c>
      <c r="BN77" s="61">
        <f t="shared" si="106"/>
        <v>92.319905467877319</v>
      </c>
      <c r="BO77" s="50">
        <f t="shared" si="103"/>
        <v>34.516489110221386</v>
      </c>
      <c r="BP77" s="61">
        <f t="shared" si="104"/>
        <v>91.72380825355647</v>
      </c>
    </row>
    <row r="78" spans="1:68" x14ac:dyDescent="0.25">
      <c r="A78" s="32"/>
      <c r="B78" s="32">
        <f>B77/(2*PI())</f>
        <v>61505.448745950242</v>
      </c>
      <c r="C78" s="32" t="s">
        <v>48</v>
      </c>
      <c r="N78" s="11">
        <v>60</v>
      </c>
      <c r="O78" s="51">
        <f t="shared" si="63"/>
        <v>39.810717055349755</v>
      </c>
      <c r="P78" s="49" t="str">
        <f t="shared" si="52"/>
        <v>37.1583961085025</v>
      </c>
      <c r="Q78" s="18" t="str">
        <f t="shared" si="64"/>
        <v>1+0.196060733402563i</v>
      </c>
      <c r="R78" s="18">
        <f t="shared" si="65"/>
        <v>1.0190386701113707</v>
      </c>
      <c r="S78" s="18">
        <f t="shared" si="66"/>
        <v>0.19360495006669814</v>
      </c>
      <c r="T78" s="18" t="str">
        <f t="shared" si="53"/>
        <v>1+0.000225124301223412i</v>
      </c>
      <c r="U78" s="18">
        <f t="shared" si="67"/>
        <v>1.0000000253404753</v>
      </c>
      <c r="V78" s="18">
        <f t="shared" si="68"/>
        <v>2.2512429742024091E-4</v>
      </c>
      <c r="W78" s="32" t="str">
        <f t="shared" si="54"/>
        <v>1-0.0019704890370394i</v>
      </c>
      <c r="X78" s="18">
        <f t="shared" si="69"/>
        <v>1.0000019414116379</v>
      </c>
      <c r="Y78" s="18">
        <f t="shared" si="70"/>
        <v>-1.9704864866893E-3</v>
      </c>
      <c r="Z78" s="32" t="str">
        <f t="shared" si="71"/>
        <v>0.99999996037767+0.000474428619985633i</v>
      </c>
      <c r="AA78" s="18">
        <f t="shared" si="72"/>
        <v>1.0000000729189258</v>
      </c>
      <c r="AB78" s="18">
        <f t="shared" si="73"/>
        <v>4.744286031884059E-4</v>
      </c>
      <c r="AC78" s="32" t="str">
        <f>IMDIV(IMSUM(COMPLEX(0,2*PI()*O78*Constants!$B$61*Constants!$B$62),COMPLEX(1,0)),IMSUM(COMPLEX(0,2*PI()*O78*Constants!$B$61*Constants!$B$62),COMPLEX(2,0)))</f>
        <v>0.500000125138119+0.000250138049866832i</v>
      </c>
      <c r="AD78" s="18">
        <f t="shared" si="74"/>
        <v>0.50000018770714338</v>
      </c>
      <c r="AE78" s="18">
        <f t="shared" si="75"/>
        <v>5.0027593279078299E-4</v>
      </c>
      <c r="AF78" s="66" t="str">
        <f t="shared" si="76"/>
        <v>17.8854363480362-3.53857903150871i</v>
      </c>
      <c r="AG78" s="64">
        <f t="shared" si="77"/>
        <v>25.216745701692634</v>
      </c>
      <c r="AH78" s="61">
        <f t="shared" si="78"/>
        <v>-11.191267475931816</v>
      </c>
      <c r="AI78" s="50" t="str">
        <f t="shared" si="55"/>
        <v>107.538871525172</v>
      </c>
      <c r="AJ78" s="50" t="str">
        <f t="shared" si="56"/>
        <v>1+0.186385379259643i</v>
      </c>
      <c r="AK78" s="50">
        <f t="shared" si="79"/>
        <v>1.0172214653662008</v>
      </c>
      <c r="AL78" s="50">
        <f t="shared" si="80"/>
        <v>0.18427096727977721</v>
      </c>
      <c r="AM78" s="50" t="str">
        <f t="shared" si="57"/>
        <v>1+0.000225124301223412i</v>
      </c>
      <c r="AN78" s="50">
        <f t="shared" si="81"/>
        <v>1.0000000253404753</v>
      </c>
      <c r="AO78" s="50">
        <f t="shared" si="82"/>
        <v>2.2512429742024091E-4</v>
      </c>
      <c r="AP78" s="50" t="str">
        <f t="shared" si="58"/>
        <v>1-0.000647271385983847i</v>
      </c>
      <c r="AQ78" s="50">
        <f t="shared" si="83"/>
        <v>1.0000002094801017</v>
      </c>
      <c r="AR78" s="50">
        <f t="shared" si="84"/>
        <v>-6.472712955902098E-4</v>
      </c>
      <c r="AS78" s="59" t="str">
        <f t="shared" si="85"/>
        <v>103.920286042303-19.414619147878i</v>
      </c>
      <c r="AT78" s="50">
        <f t="shared" si="86"/>
        <v>40.483001214977278</v>
      </c>
      <c r="AU78" s="61">
        <f t="shared" si="87"/>
        <v>-10.582135953253774</v>
      </c>
      <c r="AV78" s="32" t="str">
        <f t="shared" si="59"/>
        <v>-0.0000333333333333333</v>
      </c>
      <c r="AW78" s="32" t="str">
        <f t="shared" si="60"/>
        <v>0.000012006629398582i</v>
      </c>
      <c r="AX78" s="32">
        <f t="shared" si="88"/>
        <v>1.2006629398581999E-5</v>
      </c>
      <c r="AY78" s="32">
        <f t="shared" si="89"/>
        <v>1.5707963267948966</v>
      </c>
      <c r="AZ78" s="32" t="str">
        <f t="shared" si="61"/>
        <v>1+0.00489853803587979i</v>
      </c>
      <c r="BA78" s="32">
        <f t="shared" si="90"/>
        <v>1.0000119977654713</v>
      </c>
      <c r="BB78" s="32">
        <f t="shared" si="91"/>
        <v>4.898498855201841E-3</v>
      </c>
      <c r="BC78" s="32" t="str">
        <f t="shared" si="62"/>
        <v>1+0.23512982572223i</v>
      </c>
      <c r="BD78" s="32">
        <f t="shared" si="92"/>
        <v>1.0272711594044517</v>
      </c>
      <c r="BE78" s="32">
        <f t="shared" si="93"/>
        <v>0.2309349881627335</v>
      </c>
      <c r="BF78" s="59" t="str">
        <f t="shared" si="94"/>
        <v>-0.639162903595503+2.77937500587917i</v>
      </c>
      <c r="BG78" s="50">
        <f t="shared" si="95"/>
        <v>9.1027504900025864</v>
      </c>
      <c r="BH78" s="61">
        <f t="shared" si="96"/>
        <v>102.95093685327554</v>
      </c>
      <c r="BI78" s="59" t="str">
        <f t="shared" si="97"/>
        <v>-1.59666931177994+51.9720632033559i</v>
      </c>
      <c r="BJ78" s="64">
        <f t="shared" si="98"/>
        <v>34.319496191695222</v>
      </c>
      <c r="BK78" s="61">
        <f t="shared" si="99"/>
        <v>91.759669377343727</v>
      </c>
      <c r="BL78" s="59" t="str">
        <f t="shared" si="105"/>
        <v>-12.4614845609983+301.24254997655i</v>
      </c>
      <c r="BM78" s="64">
        <f t="shared" si="101"/>
        <v>49.585751704979877</v>
      </c>
      <c r="BN78" s="61">
        <f t="shared" si="106"/>
        <v>92.368800900021753</v>
      </c>
      <c r="BO78" s="50">
        <f t="shared" si="103"/>
        <v>34.319496191695222</v>
      </c>
      <c r="BP78" s="61">
        <f t="shared" si="104"/>
        <v>91.759669377343727</v>
      </c>
    </row>
    <row r="79" spans="1:68" x14ac:dyDescent="0.25">
      <c r="A79" s="68" t="s">
        <v>741</v>
      </c>
      <c r="N79" s="11">
        <v>61</v>
      </c>
      <c r="O79" s="51">
        <f t="shared" si="63"/>
        <v>40.738027780411279</v>
      </c>
      <c r="P79" s="49" t="str">
        <f t="shared" si="52"/>
        <v>37.1583961085025</v>
      </c>
      <c r="Q79" s="18" t="str">
        <f t="shared" si="64"/>
        <v>1+0.200627574552268i</v>
      </c>
      <c r="R79" s="18">
        <f t="shared" si="65"/>
        <v>1.0199271658656446</v>
      </c>
      <c r="S79" s="18">
        <f t="shared" si="66"/>
        <v>0.19799892402768021</v>
      </c>
      <c r="T79" s="18" t="str">
        <f t="shared" si="53"/>
        <v>1+0.000230368119834019i</v>
      </c>
      <c r="U79" s="18">
        <f t="shared" si="67"/>
        <v>1.0000000265347349</v>
      </c>
      <c r="V79" s="18">
        <f t="shared" si="68"/>
        <v>2.3036811575884774E-4</v>
      </c>
      <c r="W79" s="32" t="str">
        <f t="shared" si="54"/>
        <v>1-0.00201638762296847i</v>
      </c>
      <c r="X79" s="18">
        <f t="shared" si="69"/>
        <v>1.0000020329074566</v>
      </c>
      <c r="Y79" s="18">
        <f t="shared" si="70"/>
        <v>-2.0163848902194025E-3</v>
      </c>
      <c r="Z79" s="32" t="str">
        <f t="shared" si="71"/>
        <v>0.999999958510327+0.000485479482168728i</v>
      </c>
      <c r="AA79" s="18">
        <f t="shared" si="72"/>
        <v>1.0000000763554888</v>
      </c>
      <c r="AB79" s="18">
        <f t="shared" si="73"/>
        <v>4.8547946417017504E-4</v>
      </c>
      <c r="AC79" s="32" t="str">
        <f>IMDIV(IMSUM(COMPLEX(0,2*PI()*O79*Constants!$B$61*Constants!$B$62),COMPLEX(1,0)),IMSUM(COMPLEX(0,2*PI()*O79*Constants!$B$61*Constants!$B$62),COMPLEX(2,0)))</f>
        <v>0.500000131035696+0.000255964510512362i</v>
      </c>
      <c r="AD79" s="18">
        <f t="shared" si="74"/>
        <v>0.50000019655350514</v>
      </c>
      <c r="AE79" s="18">
        <f t="shared" si="75"/>
        <v>5.1192884214221169E-4</v>
      </c>
      <c r="AF79" s="66" t="str">
        <f t="shared" si="76"/>
        <v>17.8540055022768-3.61469723192561i</v>
      </c>
      <c r="AG79" s="64">
        <f t="shared" si="77"/>
        <v>25.209176737663835</v>
      </c>
      <c r="AH79" s="61">
        <f t="shared" si="78"/>
        <v>-11.445318480505104</v>
      </c>
      <c r="AI79" s="50" t="str">
        <f t="shared" si="55"/>
        <v>107.538871525172</v>
      </c>
      <c r="AJ79" s="50" t="str">
        <f t="shared" si="56"/>
        <v>1+0.190726852459984i</v>
      </c>
      <c r="AK79" s="50">
        <f t="shared" si="79"/>
        <v>1.0180258995965143</v>
      </c>
      <c r="AL79" s="50">
        <f t="shared" si="80"/>
        <v>0.18846338022790865</v>
      </c>
      <c r="AM79" s="50" t="str">
        <f t="shared" si="57"/>
        <v>1+0.000230368119834019i</v>
      </c>
      <c r="AN79" s="50">
        <f t="shared" si="81"/>
        <v>1.0000000265347349</v>
      </c>
      <c r="AO79" s="50">
        <f t="shared" si="82"/>
        <v>2.3036811575884774E-4</v>
      </c>
      <c r="AP79" s="50" t="str">
        <f t="shared" si="58"/>
        <v>1-0.000662348273381122i</v>
      </c>
      <c r="AQ79" s="50">
        <f t="shared" si="83"/>
        <v>1.0000002193525936</v>
      </c>
      <c r="AR79" s="50">
        <f t="shared" si="84"/>
        <v>-6.623481765225958E-4</v>
      </c>
      <c r="AS79" s="59" t="str">
        <f t="shared" si="85"/>
        <v>103.755733255175-19.835459086671i</v>
      </c>
      <c r="AT79" s="50">
        <f t="shared" si="86"/>
        <v>40.476135091860115</v>
      </c>
      <c r="AU79" s="61">
        <f t="shared" si="87"/>
        <v>-10.822906914144051</v>
      </c>
      <c r="AV79" s="32" t="str">
        <f t="shared" si="59"/>
        <v>-0.0000333333333333333</v>
      </c>
      <c r="AW79" s="32" t="str">
        <f t="shared" si="60"/>
        <v>0.000012286299724481i</v>
      </c>
      <c r="AX79" s="32">
        <f t="shared" si="88"/>
        <v>1.2286299724481E-5</v>
      </c>
      <c r="AY79" s="32">
        <f t="shared" si="89"/>
        <v>1.5707963267948966</v>
      </c>
      <c r="AZ79" s="32" t="str">
        <f t="shared" si="61"/>
        <v>1+0.00501263964453652i</v>
      </c>
      <c r="BA79" s="32">
        <f t="shared" si="90"/>
        <v>1.0000125631991859</v>
      </c>
      <c r="BB79" s="32">
        <f t="shared" si="91"/>
        <v>5.0125976617121917E-3</v>
      </c>
      <c r="BC79" s="32" t="str">
        <f t="shared" si="62"/>
        <v>1+0.240606702937753i</v>
      </c>
      <c r="BD79" s="32">
        <f t="shared" si="92"/>
        <v>1.0285385678226053</v>
      </c>
      <c r="BE79" s="32">
        <f t="shared" si="93"/>
        <v>0.23611856180333327</v>
      </c>
      <c r="BF79" s="59" t="str">
        <f t="shared" si="94"/>
        <v>-0.639162180796279+2.71625290206882i</v>
      </c>
      <c r="BG79" s="50">
        <f t="shared" si="95"/>
        <v>8.9134552965939466</v>
      </c>
      <c r="BH79" s="61">
        <f t="shared" si="96"/>
        <v>103.24139636561661</v>
      </c>
      <c r="BI79" s="59" t="str">
        <f t="shared" si="97"/>
        <v>-1.59317324646593+50.8063720247879i</v>
      </c>
      <c r="BJ79" s="64">
        <f t="shared" si="98"/>
        <v>34.122632034257776</v>
      </c>
      <c r="BK79" s="61">
        <f t="shared" si="99"/>
        <v>91.796077885111501</v>
      </c>
      <c r="BL79" s="59" t="str">
        <f t="shared" si="105"/>
        <v>-12.4386174294572+294.504886847579i</v>
      </c>
      <c r="BM79" s="64">
        <f t="shared" si="101"/>
        <v>49.389590388454046</v>
      </c>
      <c r="BN79" s="61">
        <f t="shared" si="106"/>
        <v>92.418489451472567</v>
      </c>
      <c r="BO79" s="50">
        <f t="shared" si="103"/>
        <v>34.122632034257776</v>
      </c>
      <c r="BP79" s="61">
        <f t="shared" si="104"/>
        <v>91.796077885111501</v>
      </c>
    </row>
    <row r="80" spans="1:68" x14ac:dyDescent="0.25">
      <c r="A80" s="32"/>
      <c r="B80" s="32"/>
      <c r="C80" s="32"/>
      <c r="D80" s="32"/>
      <c r="E80" s="32" t="s">
        <v>737</v>
      </c>
      <c r="F80" s="32"/>
      <c r="N80" s="11">
        <v>62</v>
      </c>
      <c r="O80" s="51">
        <f t="shared" si="63"/>
        <v>41.686938347033561</v>
      </c>
      <c r="P80" s="49" t="str">
        <f t="shared" si="52"/>
        <v>37.1583961085025</v>
      </c>
      <c r="Q80" s="18" t="str">
        <f t="shared" si="64"/>
        <v>1+0.205300791097621i</v>
      </c>
      <c r="R80" s="18">
        <f t="shared" si="65"/>
        <v>1.0208567063135301</v>
      </c>
      <c r="S80" s="18">
        <f t="shared" si="66"/>
        <v>0.20248723994891876</v>
      </c>
      <c r="T80" s="18" t="str">
        <f t="shared" si="53"/>
        <v>1+0.000235734082671045i</v>
      </c>
      <c r="U80" s="18">
        <f t="shared" si="67"/>
        <v>1.0000000277852785</v>
      </c>
      <c r="V80" s="18">
        <f t="shared" si="68"/>
        <v>2.3573407830442032E-4</v>
      </c>
      <c r="W80" s="32" t="str">
        <f t="shared" si="54"/>
        <v>1-0.00206335532430529i</v>
      </c>
      <c r="X80" s="18">
        <f t="shared" si="69"/>
        <v>1.0000021287153316</v>
      </c>
      <c r="Y80" s="18">
        <f t="shared" si="70"/>
        <v>-2.0633523961122446E-3</v>
      </c>
      <c r="Z80" s="32" t="str">
        <f t="shared" si="71"/>
        <v>0.999999956554979+0.000496787751999349i</v>
      </c>
      <c r="AA80" s="18">
        <f t="shared" si="72"/>
        <v>1.0000000799540119</v>
      </c>
      <c r="AB80" s="18">
        <f t="shared" si="73"/>
        <v>4.967877327135521E-4</v>
      </c>
      <c r="AC80" s="32" t="str">
        <f>IMDIV(IMSUM(COMPLEX(0,2*PI()*O80*Constants!$B$61*Constants!$B$62),COMPLEX(1,0)),IMSUM(COMPLEX(0,2*PI()*O80*Constants!$B$61*Constants!$B$62),COMPLEX(2,0)))</f>
        <v>0.500000137211216+0.000261926686644804i</v>
      </c>
      <c r="AD80" s="18">
        <f t="shared" si="74"/>
        <v>0.50000020581678162</v>
      </c>
      <c r="AE80" s="18">
        <f t="shared" si="75"/>
        <v>5.2385318161355234E-4</v>
      </c>
      <c r="AF80" s="66" t="str">
        <f t="shared" si="76"/>
        <v>17.8212104879576-3.69216150501452i</v>
      </c>
      <c r="AG80" s="64">
        <f t="shared" si="77"/>
        <v>25.201265175957058</v>
      </c>
      <c r="AH80" s="61">
        <f t="shared" si="78"/>
        <v>-11.704828334504416</v>
      </c>
      <c r="AI80" s="50" t="str">
        <f t="shared" si="55"/>
        <v>107.538871525172</v>
      </c>
      <c r="AJ80" s="50" t="str">
        <f t="shared" si="56"/>
        <v>1+0.195169451562067i</v>
      </c>
      <c r="AK80" s="50">
        <f t="shared" si="79"/>
        <v>1.0188675649087264</v>
      </c>
      <c r="AL80" s="50">
        <f t="shared" si="80"/>
        <v>0.19274651646345561</v>
      </c>
      <c r="AM80" s="50" t="str">
        <f t="shared" si="57"/>
        <v>1+0.000235734082671045i</v>
      </c>
      <c r="AN80" s="50">
        <f t="shared" si="81"/>
        <v>1.0000000277852785</v>
      </c>
      <c r="AO80" s="50">
        <f t="shared" si="82"/>
        <v>2.3573407830442032E-4</v>
      </c>
      <c r="AP80" s="50" t="str">
        <f t="shared" si="58"/>
        <v>1-0.000677776346600161i</v>
      </c>
      <c r="AQ80" s="50">
        <f t="shared" si="83"/>
        <v>1.0000002296903616</v>
      </c>
      <c r="AR80" s="50">
        <f t="shared" si="84"/>
        <v>-6.777762428143815E-4</v>
      </c>
      <c r="AS80" s="59" t="str">
        <f t="shared" si="85"/>
        <v>103.583981651492-20.2639656157663i</v>
      </c>
      <c r="AT80" s="50">
        <f t="shared" si="86"/>
        <v>40.468956994383802</v>
      </c>
      <c r="AU80" s="61">
        <f t="shared" si="87"/>
        <v>-11.068889059598108</v>
      </c>
      <c r="AV80" s="32" t="str">
        <f t="shared" si="59"/>
        <v>-0.0000333333333333333</v>
      </c>
      <c r="AW80" s="32" t="str">
        <f t="shared" si="60"/>
        <v>0.0000125724844091224i</v>
      </c>
      <c r="AX80" s="32">
        <f t="shared" si="88"/>
        <v>1.25724844091224E-5</v>
      </c>
      <c r="AY80" s="32">
        <f t="shared" si="89"/>
        <v>1.5707963267948966</v>
      </c>
      <c r="AZ80" s="32" t="str">
        <f t="shared" si="61"/>
        <v>1+0.00512939902108292i</v>
      </c>
      <c r="BA80" s="32">
        <f t="shared" si="90"/>
        <v>1.000013155280628</v>
      </c>
      <c r="BB80" s="32">
        <f t="shared" si="91"/>
        <v>5.1293540357081257E-3</v>
      </c>
      <c r="BC80" s="32" t="str">
        <f t="shared" si="62"/>
        <v>1+0.246211153011981i</v>
      </c>
      <c r="BD80" s="32">
        <f t="shared" si="92"/>
        <v>1.0298640356219306</v>
      </c>
      <c r="BE80" s="32">
        <f t="shared" si="93"/>
        <v>0.2414095227680198</v>
      </c>
      <c r="BF80" s="59" t="str">
        <f t="shared" si="94"/>
        <v>-0.639161423934329+2.6545709911594i</v>
      </c>
      <c r="BG80" s="50">
        <f t="shared" si="95"/>
        <v>8.7246363704369472</v>
      </c>
      <c r="BH80" s="61">
        <f t="shared" si="96"/>
        <v>103.53785645100037</v>
      </c>
      <c r="BI80" s="59" t="str">
        <f t="shared" si="97"/>
        <v>-1.5895254458294+49.6675555936185i</v>
      </c>
      <c r="BJ80" s="64">
        <f t="shared" si="98"/>
        <v>33.925901546394009</v>
      </c>
      <c r="BK80" s="61">
        <f t="shared" si="99"/>
        <v>91.833028116495953</v>
      </c>
      <c r="BL80" s="59" t="str">
        <f t="shared" si="105"/>
        <v>-12.4147499196903+287.922977958368i</v>
      </c>
      <c r="BM80" s="64">
        <f t="shared" si="101"/>
        <v>49.193593364820757</v>
      </c>
      <c r="BN80" s="61">
        <f t="shared" si="106"/>
        <v>92.468967391402259</v>
      </c>
      <c r="BO80" s="50">
        <f t="shared" si="103"/>
        <v>33.925901546394009</v>
      </c>
      <c r="BP80" s="61">
        <f t="shared" si="104"/>
        <v>91.833028116495953</v>
      </c>
    </row>
    <row r="81" spans="1:68" x14ac:dyDescent="0.25">
      <c r="A81" s="32" t="s">
        <v>738</v>
      </c>
      <c r="B81" s="32">
        <f t="array" ref="B81">INDEX(BO19:BO560,(MATCH(TRUE,BO19:BO560&lt;0,)-1))</f>
        <v>0.13900346362061439</v>
      </c>
      <c r="C81" s="32">
        <f t="array" ref="C81">INDEX(BO19:BO560,(MATCH(TRUE,BO19:BO560&lt;0,)-0))</f>
        <v>-7.3067067354733214E-2</v>
      </c>
      <c r="D81" s="32"/>
      <c r="E81" s="32"/>
      <c r="F81" s="32"/>
      <c r="N81" s="11">
        <v>63</v>
      </c>
      <c r="O81" s="51">
        <f t="shared" si="63"/>
        <v>42.657951880159267</v>
      </c>
      <c r="P81" s="49" t="str">
        <f t="shared" si="52"/>
        <v>37.1583961085025</v>
      </c>
      <c r="Q81" s="18" t="str">
        <f t="shared" si="64"/>
        <v>1+0.21008286083989i</v>
      </c>
      <c r="R81" s="18">
        <f t="shared" si="65"/>
        <v>1.0218291483504827</v>
      </c>
      <c r="S81" s="18">
        <f t="shared" si="66"/>
        <v>0.20707155391601462</v>
      </c>
      <c r="T81" s="18" t="str">
        <f t="shared" si="53"/>
        <v>1+0.000241225034839012i</v>
      </c>
      <c r="U81" s="18">
        <f t="shared" si="67"/>
        <v>1.0000000290947584</v>
      </c>
      <c r="V81" s="18">
        <f t="shared" si="68"/>
        <v>2.4122503016008937E-4</v>
      </c>
      <c r="W81" s="32" t="str">
        <f t="shared" si="54"/>
        <v>1-0.00211141704394678i</v>
      </c>
      <c r="X81" s="18">
        <f t="shared" si="69"/>
        <v>1.0000022290384825</v>
      </c>
      <c r="Y81" s="18">
        <f t="shared" si="70"/>
        <v>-2.1114139063317799E-3</v>
      </c>
      <c r="Z81" s="32" t="str">
        <f t="shared" si="71"/>
        <v>0.999999954507479+0.000508359425271843i</v>
      </c>
      <c r="AA81" s="18">
        <f t="shared" si="72"/>
        <v>1.0000000837221292</v>
      </c>
      <c r="AB81" s="18">
        <f t="shared" si="73"/>
        <v>5.0835940460673896E-4</v>
      </c>
      <c r="AC81" s="32" t="str">
        <f>IMDIV(IMSUM(COMPLEX(0,2*PI()*O81*Constants!$B$61*Constants!$B$62),COMPLEX(1,0)),IMSUM(COMPLEX(0,2*PI()*O81*Constants!$B$61*Constants!$B$62),COMPLEX(2,0)))</f>
        <v>0.500000143677779+0.000268027739468507i</v>
      </c>
      <c r="AD81" s="18">
        <f t="shared" si="74"/>
        <v>0.50000021551662233</v>
      </c>
      <c r="AE81" s="18">
        <f t="shared" si="75"/>
        <v>5.3605527355243094E-4</v>
      </c>
      <c r="AF81" s="66" t="str">
        <f t="shared" si="76"/>
        <v>17.7869976130281-3.77097545661336i</v>
      </c>
      <c r="AG81" s="64">
        <f t="shared" si="77"/>
        <v>25.192996176051238</v>
      </c>
      <c r="AH81" s="61">
        <f t="shared" si="78"/>
        <v>-11.969893169699768</v>
      </c>
      <c r="AI81" s="50" t="str">
        <f t="shared" si="55"/>
        <v>107.538871525172</v>
      </c>
      <c r="AJ81" s="50" t="str">
        <f t="shared" si="56"/>
        <v>1+0.199715532090741i</v>
      </c>
      <c r="AK81" s="50">
        <f t="shared" si="79"/>
        <v>1.0197481521230072</v>
      </c>
      <c r="AL81" s="50">
        <f t="shared" si="80"/>
        <v>0.19712201805667279</v>
      </c>
      <c r="AM81" s="50" t="str">
        <f t="shared" si="57"/>
        <v>1+0.000241225034839012i</v>
      </c>
      <c r="AN81" s="50">
        <f t="shared" si="81"/>
        <v>1.0000000290947584</v>
      </c>
      <c r="AO81" s="50">
        <f t="shared" si="82"/>
        <v>2.4122503016008937E-4</v>
      </c>
      <c r="AP81" s="50" t="str">
        <f t="shared" si="58"/>
        <v>1-0.000693563785809596i</v>
      </c>
      <c r="AQ81" s="50">
        <f t="shared" si="83"/>
        <v>1.0000002405153336</v>
      </c>
      <c r="AR81" s="50">
        <f t="shared" si="84"/>
        <v>-6.9356367460113116E-4</v>
      </c>
      <c r="AS81" s="59" t="str">
        <f t="shared" si="85"/>
        <v>103.40474261491-20.7001771908693i</v>
      </c>
      <c r="AT81" s="50">
        <f t="shared" si="86"/>
        <v>40.461453298284276</v>
      </c>
      <c r="AU81" s="61">
        <f t="shared" si="87"/>
        <v>-11.320176778986069</v>
      </c>
      <c r="AV81" s="32" t="str">
        <f t="shared" si="59"/>
        <v>-0.0000333333333333333</v>
      </c>
      <c r="AW81" s="32" t="str">
        <f t="shared" si="60"/>
        <v>0.0000128653351914139i</v>
      </c>
      <c r="AX81" s="32">
        <f t="shared" si="88"/>
        <v>1.2865335191413901E-5</v>
      </c>
      <c r="AY81" s="32">
        <f t="shared" si="89"/>
        <v>1.5707963267948966</v>
      </c>
      <c r="AZ81" s="32" t="str">
        <f t="shared" si="61"/>
        <v>1+0.00524887807288591i</v>
      </c>
      <c r="BA81" s="32">
        <f t="shared" si="90"/>
        <v>1.0000137752656331</v>
      </c>
      <c r="BB81" s="32">
        <f t="shared" si="91"/>
        <v>5.2488298702242269E-3</v>
      </c>
      <c r="BC81" s="32" t="str">
        <f t="shared" si="62"/>
        <v>1+0.251946147498524i</v>
      </c>
      <c r="BD81" s="32">
        <f t="shared" si="92"/>
        <v>1.03125014484331</v>
      </c>
      <c r="BE81" s="32">
        <f t="shared" si="93"/>
        <v>0.24680949094693716</v>
      </c>
      <c r="BF81" s="59" t="str">
        <f t="shared" si="94"/>
        <v>-0.639160631404499+2.5942965685609i</v>
      </c>
      <c r="BG81" s="50">
        <f t="shared" si="95"/>
        <v>8.5363135924483249</v>
      </c>
      <c r="BH81" s="61">
        <f t="shared" si="96"/>
        <v>103.84040637608574</v>
      </c>
      <c r="BI81" s="59" t="str">
        <f t="shared" si="97"/>
        <v>-1.58571993791394+48.5550059263396i</v>
      </c>
      <c r="BJ81" s="64">
        <f t="shared" si="98"/>
        <v>33.729309768499562</v>
      </c>
      <c r="BK81" s="61">
        <f t="shared" si="99"/>
        <v>91.870513206385965</v>
      </c>
      <c r="BL81" s="59" t="str">
        <f t="shared" si="105"/>
        <v>-12.3898419250907+281.493307262285i</v>
      </c>
      <c r="BM81" s="64">
        <f t="shared" si="101"/>
        <v>48.997766890732592</v>
      </c>
      <c r="BN81" s="61">
        <f t="shared" si="106"/>
        <v>92.520229597099657</v>
      </c>
      <c r="BO81" s="50">
        <f t="shared" si="103"/>
        <v>33.729309768499562</v>
      </c>
      <c r="BP81" s="61">
        <f t="shared" si="104"/>
        <v>91.870513206385965</v>
      </c>
    </row>
    <row r="82" spans="1:68" x14ac:dyDescent="0.25">
      <c r="A82" s="32" t="s">
        <v>739</v>
      </c>
      <c r="B82" s="32">
        <f t="array" ref="B82">INDEX(O19:O560,(MATCH(TRUE,BO19:BO560&lt;0,)-1))</f>
        <v>2344.2288153199238</v>
      </c>
      <c r="C82" s="32">
        <f t="array" ref="C82">INDEX(O19:O560,(MATCH(TRUE,BO19:BO560&lt;0,)-0))</f>
        <v>2398.8329190194918</v>
      </c>
      <c r="D82" s="32"/>
      <c r="E82" s="32">
        <f>(B81*C82-B82*C81)/(B81-C81)/1000</f>
        <v>2.3800195473336117</v>
      </c>
      <c r="F82" s="111" t="str">
        <f>"Crossover Frequency = "&amp;ROUND(E82,1)&amp;" kHz"</f>
        <v>Crossover Frequency = 2.4 kHz</v>
      </c>
      <c r="N82" s="11">
        <v>64</v>
      </c>
      <c r="O82" s="51">
        <f t="shared" si="63"/>
        <v>43.651583224016633</v>
      </c>
      <c r="P82" s="49" t="str">
        <f t="shared" si="52"/>
        <v>37.1583961085025</v>
      </c>
      <c r="Q82" s="18" t="str">
        <f t="shared" si="64"/>
        <v>1+0.214976319295752i</v>
      </c>
      <c r="R82" s="18">
        <f t="shared" si="65"/>
        <v>1.022846429263919</v>
      </c>
      <c r="S82" s="18">
        <f t="shared" si="66"/>
        <v>0.21175352548203649</v>
      </c>
      <c r="T82" s="18" t="str">
        <f t="shared" si="53"/>
        <v>1+0.000246843887713441i</v>
      </c>
      <c r="U82" s="18">
        <f t="shared" si="67"/>
        <v>1.000000030465952</v>
      </c>
      <c r="V82" s="18">
        <f t="shared" si="68"/>
        <v>2.4684388269988509E-4</v>
      </c>
      <c r="W82" s="32" t="str">
        <f t="shared" si="54"/>
        <v>1-0.00216059826485289i</v>
      </c>
      <c r="X82" s="18">
        <f t="shared" si="69"/>
        <v>1.0000023340897071</v>
      </c>
      <c r="Y82" s="18">
        <f t="shared" si="70"/>
        <v>-2.160594902838269E-3</v>
      </c>
      <c r="Z82" s="32" t="str">
        <f t="shared" si="71"/>
        <v>0.999999952363482+0.000520200637440548i</v>
      </c>
      <c r="AA82" s="18">
        <f t="shared" si="72"/>
        <v>1.0000000876678308</v>
      </c>
      <c r="AB82" s="18">
        <f t="shared" si="73"/>
        <v>5.2020061529749043E-4</v>
      </c>
      <c r="AC82" s="32" t="str">
        <f>IMDIV(IMSUM(COMPLEX(0,2*PI()*O82*Constants!$B$61*Constants!$B$62),COMPLEX(1,0)),IMSUM(COMPLEX(0,2*PI()*O82*Constants!$B$61*Constants!$B$62),COMPLEX(2,0)))</f>
        <v>0.500000150449103+0.00027427090382062i</v>
      </c>
      <c r="AD82" s="18">
        <f t="shared" si="74"/>
        <v>0.50000022567360336</v>
      </c>
      <c r="AE82" s="18">
        <f t="shared" si="75"/>
        <v>5.4854158756770493E-4</v>
      </c>
      <c r="AF82" s="66" t="str">
        <f t="shared" si="76"/>
        <v>17.7513115798072-3.85114110760667i</v>
      </c>
      <c r="AG82" s="64">
        <f t="shared" si="77"/>
        <v>25.18435431599049</v>
      </c>
      <c r="AH82" s="61">
        <f t="shared" si="78"/>
        <v>-12.240609345531004</v>
      </c>
      <c r="AI82" s="50" t="str">
        <f t="shared" si="55"/>
        <v>107.538871525172</v>
      </c>
      <c r="AJ82" s="50" t="str">
        <f t="shared" si="56"/>
        <v>1+0.204367504438077i</v>
      </c>
      <c r="AK82" s="50">
        <f t="shared" si="79"/>
        <v>1.0206694258525859</v>
      </c>
      <c r="AL82" s="50">
        <f t="shared" si="80"/>
        <v>0.20159153448330075</v>
      </c>
      <c r="AM82" s="50" t="str">
        <f t="shared" si="57"/>
        <v>1+0.000246843887713441i</v>
      </c>
      <c r="AN82" s="50">
        <f t="shared" si="81"/>
        <v>1.000000030465952</v>
      </c>
      <c r="AO82" s="50">
        <f t="shared" si="82"/>
        <v>2.4684388269988509E-4</v>
      </c>
      <c r="AP82" s="50" t="str">
        <f t="shared" si="58"/>
        <v>1-0.000709718961718668i</v>
      </c>
      <c r="AQ82" s="50">
        <f t="shared" si="83"/>
        <v>1.0000002518504707</v>
      </c>
      <c r="AR82" s="50">
        <f t="shared" si="84"/>
        <v>-7.0971884255665273E-4</v>
      </c>
      <c r="AS82" s="59" t="str">
        <f t="shared" si="85"/>
        <v>103.217718390066-21.1441245842856i</v>
      </c>
      <c r="AT82" s="50">
        <f t="shared" si="86"/>
        <v>40.453609835283793</v>
      </c>
      <c r="AU82" s="61">
        <f t="shared" si="87"/>
        <v>-11.576864893101186</v>
      </c>
      <c r="AV82" s="32" t="str">
        <f t="shared" si="59"/>
        <v>-0.0000333333333333333</v>
      </c>
      <c r="AW82" s="32" t="str">
        <f t="shared" si="60"/>
        <v>0.0000131650073447169i</v>
      </c>
      <c r="AX82" s="32">
        <f t="shared" si="88"/>
        <v>1.31650073447169E-5</v>
      </c>
      <c r="AY82" s="32">
        <f t="shared" si="89"/>
        <v>1.5707963267948966</v>
      </c>
      <c r="AZ82" s="32" t="str">
        <f t="shared" si="61"/>
        <v>1+0.00537114014932025i</v>
      </c>
      <c r="BA82" s="32">
        <f t="shared" si="90"/>
        <v>1.0000144244692193</v>
      </c>
      <c r="BB82" s="32">
        <f t="shared" si="91"/>
        <v>5.3710884992779293E-3</v>
      </c>
      <c r="BC82" s="32" t="str">
        <f t="shared" si="62"/>
        <v>1+0.257814727167373i</v>
      </c>
      <c r="BD82" s="32">
        <f t="shared" si="92"/>
        <v>1.0326995853317591</v>
      </c>
      <c r="BE82" s="32">
        <f t="shared" si="93"/>
        <v>0.25232006924507155</v>
      </c>
      <c r="BF82" s="59" t="str">
        <f t="shared" si="94"/>
        <v>-0.639159801525986+2.5353976759504i</v>
      </c>
      <c r="BG82" s="50">
        <f t="shared" si="95"/>
        <v>8.3485075551918548</v>
      </c>
      <c r="BH82" s="61">
        <f t="shared" si="96"/>
        <v>104.14913435179136</v>
      </c>
      <c r="BI82" s="59" t="str">
        <f t="shared" si="97"/>
        <v>-1.58175057219251+47.468128710501i</v>
      </c>
      <c r="BJ82" s="64">
        <f t="shared" si="98"/>
        <v>33.532861871182341</v>
      </c>
      <c r="BK82" s="61">
        <f t="shared" si="99"/>
        <v>91.908525006260362</v>
      </c>
      <c r="BL82" s="59" t="str">
        <f t="shared" si="105"/>
        <v>-12.3638520691563+275.212437795809i</v>
      </c>
      <c r="BM82" s="64">
        <f t="shared" si="101"/>
        <v>48.802117390475644</v>
      </c>
      <c r="BN82" s="61">
        <f t="shared" si="106"/>
        <v>92.572269458690187</v>
      </c>
      <c r="BO82" s="50">
        <f t="shared" si="103"/>
        <v>33.532861871182341</v>
      </c>
      <c r="BP82" s="61">
        <f t="shared" si="104"/>
        <v>91.908525006260362</v>
      </c>
    </row>
    <row r="83" spans="1:68" x14ac:dyDescent="0.25">
      <c r="A83" s="32" t="s">
        <v>740</v>
      </c>
      <c r="B83" s="32">
        <f t="array" ref="B83">INDEX(BP19:BP560,(MATCH(TRUE,BO19:BO560&lt;0,)-1))</f>
        <v>68.954368258953082</v>
      </c>
      <c r="C83" s="32">
        <f t="array" ref="C83">INDEX(BP19:BP560,(MATCH(TRUE,BO19:BO560&lt;0,)-0))</f>
        <v>68.447932732868054</v>
      </c>
      <c r="D83" s="32"/>
      <c r="E83" s="32">
        <f>(B81*C83-B83*C81)/(B81-C81)</f>
        <v>68.622420713471001</v>
      </c>
      <c r="F83" s="32" t="str">
        <f>"Phase Margin = "&amp;ROUND(E83,0)&amp;"°"</f>
        <v>Phase Margin = 69°</v>
      </c>
      <c r="N83" s="11">
        <v>65</v>
      </c>
      <c r="O83" s="51">
        <f t="shared" si="63"/>
        <v>44.668359215096324</v>
      </c>
      <c r="P83" s="49" t="str">
        <f t="shared" ref="P83:P146" si="107">COMPLEX(Adc,0)</f>
        <v>37.1583961085025</v>
      </c>
      <c r="Q83" s="18" t="str">
        <f t="shared" ref="Q83:Q146" si="108">IMSUM(COMPLEX(1,0),IMDIV(COMPLEX(0,2*PI()*O83),COMPLEX(wp_lf,0)))</f>
        <v>1+0.219983761041653i</v>
      </c>
      <c r="R83" s="18">
        <f t="shared" si="65"/>
        <v>1.0239105698849051</v>
      </c>
      <c r="S83" s="18">
        <f t="shared" si="66"/>
        <v>0.21653481564598392</v>
      </c>
      <c r="T83" s="18" t="str">
        <f t="shared" ref="T83:T146" si="109">IMSUM(COMPLEX(1,0),IMDIV(COMPLEX(0,2*PI()*O83),COMPLEX(wz_esr,0)))</f>
        <v>1+0.000252593620484502i</v>
      </c>
      <c r="U83" s="18">
        <f t="shared" si="67"/>
        <v>1.0000000319017681</v>
      </c>
      <c r="V83" s="18">
        <f t="shared" si="68"/>
        <v>2.5259361511238004E-4</v>
      </c>
      <c r="W83" s="32" t="str">
        <f t="shared" ref="W83:W146" si="110">IMSUB(COMPLEX(1,0),IMDIV(COMPLEX(0,2*PI()*O83),COMPLEX(wz_rhp,0)))</f>
        <v>1-0.00221092506355791i</v>
      </c>
      <c r="X83" s="18">
        <f t="shared" si="69"/>
        <v>1.0000024440918316</v>
      </c>
      <c r="Y83" s="18">
        <f t="shared" si="70"/>
        <v>-2.2109214610948149E-3</v>
      </c>
      <c r="Z83" s="32" t="str">
        <f t="shared" ref="Z83:Z146" si="111">IMSUM(COMPLEX(1,0),IMDIV(COMPLEX(0,2*PI()*O83),COMPLEX(Q*(wsl/2),0)),IMDIV(IMPOWER(COMPLEX(0,2*PI()*O83),2),IMPOWER(COMPLEX(wsl/2,0),2)))</f>
        <v>0.999999950118442+0.000532317666872894i</v>
      </c>
      <c r="AA83" s="18">
        <f t="shared" si="72"/>
        <v>1.0000000917994882</v>
      </c>
      <c r="AB83" s="18">
        <f t="shared" si="73"/>
        <v>5.3231764314618044E-4</v>
      </c>
      <c r="AC83" s="32" t="str">
        <f>IMDIV(IMSUM(COMPLEX(0,2*PI()*O83*Constants!$B$61*Constants!$B$62),COMPLEX(1,0)),IMSUM(COMPLEX(0,2*PI()*O83*Constants!$B$61*Constants!$B$62),COMPLEX(2,0)))</f>
        <v>0.500000157539548+0.000280659489886146i</v>
      </c>
      <c r="AD83" s="18">
        <f t="shared" si="74"/>
        <v>0.50000023630926627</v>
      </c>
      <c r="AE83" s="18">
        <f t="shared" si="75"/>
        <v>5.613187439592642E-4</v>
      </c>
      <c r="AF83" s="66" t="str">
        <f t="shared" si="76"/>
        <v>17.7140954851866-3.93265877215771i</v>
      </c>
      <c r="AG83" s="64">
        <f t="shared" si="77"/>
        <v>25.1753235752508</v>
      </c>
      <c r="AH83" s="61">
        <f t="shared" si="78"/>
        <v>-12.517073333958104</v>
      </c>
      <c r="AI83" s="50" t="str">
        <f t="shared" ref="AI83:AI146" si="112">COMPLEX($B$72,0)</f>
        <v>107.538871525172</v>
      </c>
      <c r="AJ83" s="50" t="str">
        <f t="shared" ref="AJ83:AJ146" si="113">IMSUM(COMPLEX(1,0),IMDIV(COMPLEX(0,2*PI()*O83),COMPLEX(wp_lf_DCM,0)))</f>
        <v>1+0.20912783514139i</v>
      </c>
      <c r="AK83" s="50">
        <f t="shared" si="79"/>
        <v>1.0216332274504996</v>
      </c>
      <c r="AL83" s="50">
        <f t="shared" si="80"/>
        <v>0.20615672091604026</v>
      </c>
      <c r="AM83" s="50" t="str">
        <f t="shared" ref="AM83:AM146" si="114">IMSUM(COMPLEX(1,0),IMDIV(COMPLEX(0,2*PI()*O83),COMPLEX(wz1_dcm,0)))</f>
        <v>1+0.000252593620484502i</v>
      </c>
      <c r="AN83" s="50">
        <f t="shared" si="81"/>
        <v>1.0000000319017681</v>
      </c>
      <c r="AO83" s="50">
        <f t="shared" si="82"/>
        <v>2.5259361511238004E-4</v>
      </c>
      <c r="AP83" s="50" t="str">
        <f t="shared" ref="AP83:AP146" si="115">IMSUB(COMPLEX(1,0),IMDIV(COMPLEX(0,2*PI()*O83),COMPLEX(wz2_dcm,0)))</f>
        <v>1-0.000726250440015486i</v>
      </c>
      <c r="AQ83" s="50">
        <f t="shared" si="83"/>
        <v>1.000000263719816</v>
      </c>
      <c r="AR83" s="50">
        <f t="shared" si="84"/>
        <v>-7.2625031233108787E-4</v>
      </c>
      <c r="AS83" s="59" t="str">
        <f t="shared" si="85"/>
        <v>103.022602024132-21.5958302518022i</v>
      </c>
      <c r="AT83" s="50">
        <f t="shared" si="86"/>
        <v>40.445411876074495</v>
      </c>
      <c r="AU83" s="61">
        <f t="shared" si="87"/>
        <v>-11.839048556434189</v>
      </c>
      <c r="AV83" s="32" t="str">
        <f t="shared" ref="AV83:AV146" si="116">COMPLEX(Adc_ea,0)</f>
        <v>-0.0000333333333333333</v>
      </c>
      <c r="AW83" s="32" t="str">
        <f t="shared" ref="AW83:AW146" si="117">COMPLEX(0,2*PI()*O83*wp0_ea)</f>
        <v>0.0000134716597591734i</v>
      </c>
      <c r="AX83" s="32">
        <f t="shared" si="88"/>
        <v>1.3471659759173401E-5</v>
      </c>
      <c r="AY83" s="32">
        <f t="shared" si="89"/>
        <v>1.5707963267948966</v>
      </c>
      <c r="AZ83" s="32" t="str">
        <f t="shared" ref="AZ83:AZ146" si="118">IMSUM(COMPLEX(1,0),IMDIV(COMPLEX(0,2*PI()*O83),COMPLEX(wp1_ea,0)))</f>
        <v>1+0.00549625007535722i</v>
      </c>
      <c r="BA83" s="32">
        <f t="shared" si="90"/>
        <v>1.000015104268376</v>
      </c>
      <c r="BB83" s="32">
        <f t="shared" si="91"/>
        <v>5.4961947313849043E-3</v>
      </c>
      <c r="BC83" s="32" t="str">
        <f t="shared" ref="BC83:BC146" si="119">IMSUM(COMPLEX(1,0),IMDIV(COMPLEX(0,2*PI()*O83),COMPLEX(wz_ea,0)))</f>
        <v>1+0.263820003617147i</v>
      </c>
      <c r="BD83" s="32">
        <f t="shared" si="92"/>
        <v>1.0342151586147592</v>
      </c>
      <c r="BE83" s="32">
        <f t="shared" si="93"/>
        <v>0.25794284018368246</v>
      </c>
      <c r="BF83" s="59" t="str">
        <f t="shared" si="94"/>
        <v>-0.639158932538823+2.47784308432743i</v>
      </c>
      <c r="BG83" s="50">
        <f t="shared" si="95"/>
        <v>8.1612395776882867</v>
      </c>
      <c r="BH83" s="61">
        <f t="shared" si="96"/>
        <v>104.46412733665214</v>
      </c>
      <c r="BI83" s="59" t="str">
        <f t="shared" si="97"/>
        <v>-1.57761101959207+46.4063429759371i</v>
      </c>
      <c r="BJ83" s="64">
        <f t="shared" si="98"/>
        <v>33.336563152939085</v>
      </c>
      <c r="BK83" s="61">
        <f t="shared" si="99"/>
        <v>91.947054002694045</v>
      </c>
      <c r="BL83" s="59" t="str">
        <f t="shared" si="105"/>
        <v>-12.336737697379+269.077009765944i</v>
      </c>
      <c r="BM83" s="64">
        <f t="shared" si="101"/>
        <v>48.60665145376278</v>
      </c>
      <c r="BN83" s="61">
        <f t="shared" si="106"/>
        <v>92.625078780217962</v>
      </c>
      <c r="BO83" s="50">
        <f t="shared" si="103"/>
        <v>33.336563152939085</v>
      </c>
      <c r="BP83" s="61">
        <f t="shared" si="104"/>
        <v>91.947054002694045</v>
      </c>
    </row>
    <row r="84" spans="1:68" x14ac:dyDescent="0.25">
      <c r="N84" s="11">
        <v>66</v>
      </c>
      <c r="O84" s="51">
        <f t="shared" ref="O84:O118" si="120">10^(1+(N84/100))</f>
        <v>45.70881896148753</v>
      </c>
      <c r="P84" s="49" t="str">
        <f t="shared" si="107"/>
        <v>37.1583961085025</v>
      </c>
      <c r="Q84" s="18" t="str">
        <f t="shared" si="108"/>
        <v>1+0.225107841089488i</v>
      </c>
      <c r="R84" s="18">
        <f t="shared" ref="R84:R147" si="121">IMABS(Q84)</f>
        <v>1.0250236778338198</v>
      </c>
      <c r="S84" s="18">
        <f t="shared" ref="S84:S147" si="122">IMARGUMENT(Q84)</f>
        <v>0.22141708467837606</v>
      </c>
      <c r="T84" s="18" t="str">
        <f t="shared" si="109"/>
        <v>1+0.000258477281736615i</v>
      </c>
      <c r="U84" s="18">
        <f t="shared" ref="U84:U147" si="123">IMABS(T84)</f>
        <v>1.0000000334052519</v>
      </c>
      <c r="V84" s="18">
        <f t="shared" ref="V84:V147" si="124">IMARGUMENT(T84)</f>
        <v>2.5847727598028264E-4</v>
      </c>
      <c r="W84" s="32" t="str">
        <f t="shared" si="110"/>
        <v>1-0.0022624241239967i</v>
      </c>
      <c r="X84" s="18">
        <f t="shared" ref="X84:X147" si="125">IMABS(W84)</f>
        <v>1.0000025592781834</v>
      </c>
      <c r="Y84" s="18">
        <f t="shared" ref="Y84:Y147" si="126">IMARGUMENT(W84)</f>
        <v>-2.2624202638884803E-3</v>
      </c>
      <c r="Z84" s="32" t="str">
        <f t="shared" si="111"/>
        <v>0.999999947767597+0.000544716938178273i</v>
      </c>
      <c r="AA84" s="18">
        <f t="shared" ref="AA84:AA147" si="127">IMABS(Z84)</f>
        <v>1.0000000961258653</v>
      </c>
      <c r="AB84" s="18">
        <f t="shared" ref="AB84:AB147" si="128">IMARGUMENT(Z84)</f>
        <v>5.4471691275464129E-4</v>
      </c>
      <c r="AC84" s="32" t="str">
        <f>IMDIV(IMSUM(COMPLEX(0,2*PI()*O84*Constants!$B$61*Constants!$B$62),COMPLEX(1,0)),IMSUM(COMPLEX(0,2*PI()*O84*Constants!$B$61*Constants!$B$62),COMPLEX(2,0)))</f>
        <v>0.500000164964156+0.000287196884952935i</v>
      </c>
      <c r="AD84" s="18">
        <f t="shared" ref="AD84:AD147" si="129">IMABS(AC84)</f>
        <v>0.50000024744617266</v>
      </c>
      <c r="AE84" s="18">
        <f t="shared" ref="AE84:AE147" si="130">IMARGUMENT(AC84)</f>
        <v>5.7439351722767256E-4</v>
      </c>
      <c r="AF84" s="66" t="str">
        <f t="shared" ref="AF84:AF147" si="131">(IMDIV(IMPRODUCT(P84,T84,W84,AC84),IMPRODUCT(Q84,Z84)))</f>
        <v>17.6752908264013-4.01552693060864i</v>
      </c>
      <c r="AG84" s="64">
        <f t="shared" ref="AG84:AG147" si="132">20*LOG(IMABS(AF84))</f>
        <v>25.165887317638656</v>
      </c>
      <c r="AH84" s="61">
        <f t="shared" ref="AH84:AH147" si="133">(180/PI())*IMARGUMENT(AF84)</f>
        <v>-12.799381595567111</v>
      </c>
      <c r="AI84" s="50" t="str">
        <f t="shared" si="112"/>
        <v>107.538871525172</v>
      </c>
      <c r="AJ84" s="50" t="str">
        <f t="shared" si="113"/>
        <v>1+0.213999048191029i</v>
      </c>
      <c r="AK84" s="50">
        <f t="shared" ref="AK84:AK147" si="134">IMABS(AJ84)</f>
        <v>1.0226414780492068</v>
      </c>
      <c r="AL84" s="50">
        <f t="shared" ref="AL84:AL147" si="135">IMARGUMENT(AJ84)</f>
        <v>0.21081923637752378</v>
      </c>
      <c r="AM84" s="50" t="str">
        <f t="shared" si="114"/>
        <v>1+0.000258477281736615i</v>
      </c>
      <c r="AN84" s="50">
        <f t="shared" ref="AN84:AN147" si="136">IMABS(AM84)</f>
        <v>1.0000000334052519</v>
      </c>
      <c r="AO84" s="50">
        <f t="shared" ref="AO84:AO147" si="137">IMARGUMENT(AM84)</f>
        <v>2.5847727598028264E-4</v>
      </c>
      <c r="AP84" s="50" t="str">
        <f t="shared" si="115"/>
        <v>1-0.000743166985908661i</v>
      </c>
      <c r="AQ84" s="50">
        <f t="shared" ref="AQ84:AQ147" si="138">IMABS(AP84)</f>
        <v>1.0000002761485463</v>
      </c>
      <c r="AR84" s="50">
        <f t="shared" ref="AR84:AR147" si="139">IMARGUMENT(AP84)</f>
        <v>-7.431668490923655E-4</v>
      </c>
      <c r="AS84" s="59" t="str">
        <f t="shared" ref="AS84:AS147" si="140">(IMDIV(IMPRODUCT(AI84,AM84,AP84),IMPRODUCT(AJ84)))</f>
        <v>102.819077333752-22.0553076691293i</v>
      </c>
      <c r="AT84" s="50">
        <f t="shared" ref="AT84:AT147" si="141">20*LOG(IMABS(AS84))</f>
        <v>40.436844113217759</v>
      </c>
      <c r="AU84" s="61">
        <f t="shared" ref="AU84:AU147" si="142">(180/PI())*IMARGUMENT(AS84)</f>
        <v>-12.106823151516325</v>
      </c>
      <c r="AV84" s="32" t="str">
        <f t="shared" si="116"/>
        <v>-0.0000333333333333333</v>
      </c>
      <c r="AW84" s="32" t="str">
        <f t="shared" si="117"/>
        <v>0.0000137854550259528i</v>
      </c>
      <c r="AX84" s="32">
        <f t="shared" ref="AX84:AX147" si="143">IMABS(AW84)</f>
        <v>1.37854550259528E-5</v>
      </c>
      <c r="AY84" s="32">
        <f t="shared" ref="AY84:AY147" si="144">IMARGUMENT(AW84)</f>
        <v>1.5707963267948966</v>
      </c>
      <c r="AZ84" s="32" t="str">
        <f t="shared" si="118"/>
        <v>1+0.00562427418593561i</v>
      </c>
      <c r="BA84" s="32">
        <f t="shared" ref="BA84:BA147" si="145">IMABS(AZ84)</f>
        <v>1.0000158161049848</v>
      </c>
      <c r="BB84" s="32">
        <f t="shared" ref="BB84:BB147" si="146">IMARGUMENT(AZ84)</f>
        <v>5.6242148838515013E-3</v>
      </c>
      <c r="BC84" s="32" t="str">
        <f t="shared" si="119"/>
        <v>1+0.26996516092491i</v>
      </c>
      <c r="BD84" s="32">
        <f t="shared" ref="BD84:BD147" si="147">IMABS(BC84)</f>
        <v>1.0357997818657874</v>
      </c>
      <c r="BE84" s="32">
        <f t="shared" ref="BE84:BE147" si="148">IMARGUMENT(BC84)</f>
        <v>0.26367936230220579</v>
      </c>
      <c r="BF84" s="59" t="str">
        <f t="shared" ref="BF84:BF147" si="149">IMPRODUCT(AV84,IMDIV(BC84,IMPRODUCT(AW84,AZ84)))</f>
        <v>-0.639158022600083+2.4216022774556i</v>
      </c>
      <c r="BG84" s="50">
        <f t="shared" ref="BG84:BG147" si="150">20*LOG(IMABS(BF84))</f>
        <v>7.9745317195097956</v>
      </c>
      <c r="BH84" s="61">
        <f t="shared" ref="BH84:BH147" si="151">(180/PI())*IMARGUMENT(BF84)</f>
        <v>104.78547082869797</v>
      </c>
      <c r="BI84" s="59" t="str">
        <f t="shared" ref="BI84:BI147" si="152">IMPRODUCT(AF84,BF84)</f>
        <v>-1.57329477313787+45.3690807725687i</v>
      </c>
      <c r="BJ84" s="64">
        <f t="shared" ref="BJ84:BJ147" si="153">20*LOG(IMABS(BI84))</f>
        <v>33.140419037148455</v>
      </c>
      <c r="BK84" s="61">
        <f t="shared" ref="BK84:BK147" si="154">(180/PI())*IMARGUMENT(BI84)</f>
        <v>91.986089233130869</v>
      </c>
      <c r="BL84" s="59" t="str">
        <f t="shared" si="105"/>
        <v>-12.3084548726585+263.083738674934i</v>
      </c>
      <c r="BM84" s="64">
        <f t="shared" ref="BM84:BM147" si="155">20*LOG(IMABS(BL84))</f>
        <v>48.411375832727536</v>
      </c>
      <c r="BN84" s="61">
        <f t="shared" si="106"/>
        <v>92.678647677181644</v>
      </c>
      <c r="BO84" s="50">
        <f t="shared" ref="BO84:BO147" si="156">IF($B$31=0,BM84,BJ84)</f>
        <v>33.140419037148455</v>
      </c>
      <c r="BP84" s="61">
        <f t="shared" ref="BP84:BP147" si="157">IF($B$31=0,BN84,BK84)</f>
        <v>91.986089233130869</v>
      </c>
    </row>
    <row r="85" spans="1:68" ht="16.5" x14ac:dyDescent="0.3">
      <c r="B85" s="334" t="s">
        <v>744</v>
      </c>
      <c r="N85" s="11">
        <v>67</v>
      </c>
      <c r="O85" s="51">
        <f t="shared" si="120"/>
        <v>46.773514128719818</v>
      </c>
      <c r="P85" s="49" t="str">
        <f t="shared" si="107"/>
        <v>37.1583961085025</v>
      </c>
      <c r="Q85" s="18" t="str">
        <f t="shared" si="108"/>
        <v>1+0.230351276294322i</v>
      </c>
      <c r="R85" s="18">
        <f t="shared" si="121"/>
        <v>1.0261879508600864</v>
      </c>
      <c r="S85" s="18">
        <f t="shared" si="122"/>
        <v>0.22640198978742401</v>
      </c>
      <c r="T85" s="18" t="str">
        <f t="shared" si="109"/>
        <v>1+0.000264497991064856i</v>
      </c>
      <c r="U85" s="18">
        <f t="shared" si="123"/>
        <v>1.000000034979593</v>
      </c>
      <c r="V85" s="18">
        <f t="shared" si="124"/>
        <v>2.6449798489683475E-4</v>
      </c>
      <c r="W85" s="32" t="str">
        <f t="shared" si="110"/>
        <v>1-0.00231512275165274i</v>
      </c>
      <c r="X85" s="18">
        <f t="shared" si="125"/>
        <v>1.0000026798930866</v>
      </c>
      <c r="Y85" s="18">
        <f t="shared" si="126"/>
        <v>-2.3151186154728612E-3</v>
      </c>
      <c r="Z85" s="32" t="str">
        <f t="shared" si="111"/>
        <v>0.999999945305959+0.000557405025614456i</v>
      </c>
      <c r="AA85" s="18">
        <f t="shared" si="127"/>
        <v>1.0000001006561368</v>
      </c>
      <c r="AB85" s="18">
        <f t="shared" si="128"/>
        <v>5.5740499837254453E-4</v>
      </c>
      <c r="AC85" s="32" t="str">
        <f>IMDIV(IMSUM(COMPLEX(0,2*PI()*O85*Constants!$B$61*Constants!$B$62),COMPLEX(1,0)),IMSUM(COMPLEX(0,2*PI()*O85*Constants!$B$61*Constants!$B$62),COMPLEX(2,0)))</f>
        <v>0.500000172738674+0.000293886555207547i</v>
      </c>
      <c r="AD85" s="18">
        <f t="shared" si="129"/>
        <v>0.5000002591079441</v>
      </c>
      <c r="AE85" s="18">
        <f t="shared" si="130"/>
        <v>5.8777283966554431E-4</v>
      </c>
      <c r="AF85" s="66" t="str">
        <f t="shared" si="131"/>
        <v>17.6348375129416-4.09974209708317i</v>
      </c>
      <c r="AG85" s="64">
        <f t="shared" si="132"/>
        <v>25.156028274283159</v>
      </c>
      <c r="AH85" s="61">
        <f t="shared" si="133"/>
        <v>-13.08763044655883</v>
      </c>
      <c r="AI85" s="50" t="str">
        <f t="shared" si="112"/>
        <v>107.538871525172</v>
      </c>
      <c r="AJ85" s="50" t="str">
        <f t="shared" si="113"/>
        <v>1+0.218983726368632i</v>
      </c>
      <c r="AK85" s="50">
        <f t="shared" si="134"/>
        <v>1.0236961816937151</v>
      </c>
      <c r="AL85" s="50">
        <f t="shared" si="135"/>
        <v>0.21558074174825925</v>
      </c>
      <c r="AM85" s="50" t="str">
        <f t="shared" si="114"/>
        <v>1+0.000264497991064856i</v>
      </c>
      <c r="AN85" s="50">
        <f t="shared" si="136"/>
        <v>1.000000034979593</v>
      </c>
      <c r="AO85" s="50">
        <f t="shared" si="137"/>
        <v>2.6449798489683475E-4</v>
      </c>
      <c r="AP85" s="50" t="str">
        <f t="shared" si="115"/>
        <v>1-0.000760477568774742i</v>
      </c>
      <c r="AQ85" s="50">
        <f t="shared" si="138"/>
        <v>1.0000002891630244</v>
      </c>
      <c r="AR85" s="50">
        <f t="shared" si="139"/>
        <v>-7.6047742217344244E-4</v>
      </c>
      <c r="AS85" s="59" t="str">
        <f t="shared" si="140"/>
        <v>102.60681890025-22.5225606376946i</v>
      </c>
      <c r="AT85" s="50">
        <f t="shared" si="141"/>
        <v>40.427890644007086</v>
      </c>
      <c r="AU85" s="61">
        <f t="shared" si="142"/>
        <v>-12.380284174956238</v>
      </c>
      <c r="AV85" s="32" t="str">
        <f t="shared" si="116"/>
        <v>-0.0000333333333333333</v>
      </c>
      <c r="AW85" s="32" t="str">
        <f t="shared" si="117"/>
        <v>0.000014106559523459i</v>
      </c>
      <c r="AX85" s="32">
        <f t="shared" si="143"/>
        <v>1.4106559523459E-5</v>
      </c>
      <c r="AY85" s="32">
        <f t="shared" si="144"/>
        <v>1.5707963267948966</v>
      </c>
      <c r="AZ85" s="32" t="str">
        <f t="shared" si="118"/>
        <v>1+0.00575528036113345i</v>
      </c>
      <c r="BA85" s="32">
        <f t="shared" si="145"/>
        <v>1.0000165614888761</v>
      </c>
      <c r="BB85" s="32">
        <f t="shared" si="146"/>
        <v>5.7552168178623226E-3</v>
      </c>
      <c r="BC85" s="32" t="str">
        <f t="shared" si="119"/>
        <v>1+0.276253457334406i</v>
      </c>
      <c r="BD85" s="32">
        <f t="shared" si="147"/>
        <v>1.0374564919500058</v>
      </c>
      <c r="BE85" s="32">
        <f t="shared" si="148"/>
        <v>0.26953116635630781</v>
      </c>
      <c r="BF85" s="59" t="str">
        <f t="shared" si="149"/>
        <v>-0.639157069780029+2.36664543568247i</v>
      </c>
      <c r="BG85" s="50">
        <f t="shared" si="150"/>
        <v>7.7884067940409576</v>
      </c>
      <c r="BH85" s="61">
        <f t="shared" si="151"/>
        <v>105.11324864560873</v>
      </c>
      <c r="BI85" s="59" t="str">
        <f t="shared" si="152"/>
        <v>-1.56879514928153+44.3557868546308i</v>
      </c>
      <c r="BJ85" s="64">
        <f t="shared" si="153"/>
        <v>32.944435068324132</v>
      </c>
      <c r="BK85" s="61">
        <f t="shared" si="154"/>
        <v>92.025618199049902</v>
      </c>
      <c r="BL85" s="59" t="str">
        <f t="shared" si="105"/>
        <v>-12.2789583746523+257.229413481306i</v>
      </c>
      <c r="BM85" s="64">
        <f t="shared" si="155"/>
        <v>48.216297438048024</v>
      </c>
      <c r="BN85" s="61">
        <f t="shared" si="106"/>
        <v>92.732964470652504</v>
      </c>
      <c r="BO85" s="50">
        <f t="shared" si="156"/>
        <v>32.944435068324132</v>
      </c>
      <c r="BP85" s="61">
        <f t="shared" si="157"/>
        <v>92.025618199049902</v>
      </c>
    </row>
    <row r="86" spans="1:68" x14ac:dyDescent="0.25">
      <c r="N86" s="11">
        <v>68</v>
      </c>
      <c r="O86" s="51">
        <f t="shared" si="120"/>
        <v>47.863009232263877</v>
      </c>
      <c r="P86" s="49" t="str">
        <f t="shared" si="107"/>
        <v>37.1583961085025</v>
      </c>
      <c r="Q86" s="18" t="str">
        <f t="shared" si="108"/>
        <v>1+0.235716846794908i</v>
      </c>
      <c r="R86" s="18">
        <f t="shared" si="121"/>
        <v>1.0274056802757781</v>
      </c>
      <c r="S86" s="18">
        <f t="shared" si="122"/>
        <v>0.2314911826193298</v>
      </c>
      <c r="T86" s="18" t="str">
        <f t="shared" si="109"/>
        <v>1+0.000270658940729005i</v>
      </c>
      <c r="U86" s="18">
        <f t="shared" si="123"/>
        <v>1.0000000366281303</v>
      </c>
      <c r="V86" s="18">
        <f t="shared" si="124"/>
        <v>2.706589341198512E-4</v>
      </c>
      <c r="W86" s="32" t="str">
        <f t="shared" si="110"/>
        <v>1-0.00236904888803599i</v>
      </c>
      <c r="X86" s="18">
        <f t="shared" si="125"/>
        <v>1.0000028061923796</v>
      </c>
      <c r="Y86" s="18">
        <f t="shared" si="126"/>
        <v>-2.3690444560400719E-3</v>
      </c>
      <c r="Z86" s="32" t="str">
        <f t="shared" si="111"/>
        <v>0.999999942728309+0.000570388656573347i</v>
      </c>
      <c r="AA86" s="18">
        <f t="shared" si="127"/>
        <v>1.0000001053999148</v>
      </c>
      <c r="AB86" s="18">
        <f t="shared" si="128"/>
        <v>5.703886273831126E-4</v>
      </c>
      <c r="AC86" s="32" t="str">
        <f>IMDIV(IMSUM(COMPLEX(0,2*PI()*O86*Constants!$B$61*Constants!$B$62),COMPLEX(1,0)),IMSUM(COMPLEX(0,2*PI()*O86*Constants!$B$61*Constants!$B$62),COMPLEX(2,0)))</f>
        <v>0.500000180879594+0.000300732047572942i</v>
      </c>
      <c r="AD86" s="18">
        <f t="shared" si="129"/>
        <v>0.50000027131931757</v>
      </c>
      <c r="AE86" s="18">
        <f t="shared" si="130"/>
        <v>6.0146380503253304E-4</v>
      </c>
      <c r="AF86" s="66" t="str">
        <f t="shared" si="131"/>
        <v>17.5926738852164-4.18529868186528i</v>
      </c>
      <c r="AG86" s="64">
        <f t="shared" si="132"/>
        <v>25.145728526791299</v>
      </c>
      <c r="AH86" s="61">
        <f t="shared" si="133"/>
        <v>-13.381915916250279</v>
      </c>
      <c r="AI86" s="50" t="str">
        <f t="shared" si="112"/>
        <v>107.538871525172</v>
      </c>
      <c r="AJ86" s="50" t="str">
        <f t="shared" si="113"/>
        <v>1+0.224084512616547i</v>
      </c>
      <c r="AK86" s="50">
        <f t="shared" si="134"/>
        <v>1.0247994285686324</v>
      </c>
      <c r="AL86" s="50">
        <f t="shared" si="135"/>
        <v>0.22044289762298511</v>
      </c>
      <c r="AM86" s="50" t="str">
        <f t="shared" si="114"/>
        <v>1+0.000270658940729005i</v>
      </c>
      <c r="AN86" s="50">
        <f t="shared" si="136"/>
        <v>1.0000000366281303</v>
      </c>
      <c r="AO86" s="50">
        <f t="shared" si="137"/>
        <v>2.706589341198512E-4</v>
      </c>
      <c r="AP86" s="50" t="str">
        <f t="shared" si="115"/>
        <v>1-0.000778191366913899i</v>
      </c>
      <c r="AQ86" s="50">
        <f t="shared" si="138"/>
        <v>1.0000003027908559</v>
      </c>
      <c r="AR86" s="50">
        <f t="shared" si="139"/>
        <v>-7.7819120982777898E-4</v>
      </c>
      <c r="AS86" s="59" t="str">
        <f t="shared" si="140"/>
        <v>102.385492096225-22.9975825597622i</v>
      </c>
      <c r="AT86" s="50">
        <f t="shared" si="141"/>
        <v>40.418534953351646</v>
      </c>
      <c r="AU86" s="61">
        <f t="shared" si="142"/>
        <v>-12.659527114796237</v>
      </c>
      <c r="AV86" s="32" t="str">
        <f t="shared" si="116"/>
        <v>-0.0000333333333333333</v>
      </c>
      <c r="AW86" s="32" t="str">
        <f t="shared" si="117"/>
        <v>0.0000144351435055469i</v>
      </c>
      <c r="AX86" s="32">
        <f t="shared" si="143"/>
        <v>1.4435143505546899E-5</v>
      </c>
      <c r="AY86" s="32">
        <f t="shared" si="144"/>
        <v>1.5707963267948966</v>
      </c>
      <c r="AZ86" s="32" t="str">
        <f t="shared" si="118"/>
        <v>1+0.00588933806215891i</v>
      </c>
      <c r="BA86" s="32">
        <f t="shared" si="145"/>
        <v>1.0000173420010325</v>
      </c>
      <c r="BB86" s="32">
        <f t="shared" si="146"/>
        <v>5.88926997438095E-3</v>
      </c>
      <c r="BC86" s="32" t="str">
        <f t="shared" si="119"/>
        <v>1+0.282688226983628i</v>
      </c>
      <c r="BD86" s="32">
        <f t="shared" si="147"/>
        <v>1.0391884495485635</v>
      </c>
      <c r="BE86" s="32">
        <f t="shared" si="148"/>
        <v>0.27549975130846055</v>
      </c>
      <c r="BF86" s="59" t="str">
        <f t="shared" si="149"/>
        <v>-0.639156072057996+2.31294342012861i</v>
      </c>
      <c r="BG86" s="50">
        <f t="shared" si="150"/>
        <v>7.6028883807757452</v>
      </c>
      <c r="BH86" s="61">
        <f t="shared" si="151"/>
        <v>105.44754269293341</v>
      </c>
      <c r="BI86" s="59" t="str">
        <f t="shared" si="152"/>
        <v>-1.56410528997895+43.3659183711702i</v>
      </c>
      <c r="BJ86" s="64">
        <f t="shared" si="153"/>
        <v>32.74861690756704</v>
      </c>
      <c r="BK86" s="61">
        <f t="shared" si="154"/>
        <v>92.065626776683132</v>
      </c>
      <c r="BL86" s="59" t="str">
        <f t="shared" si="105"/>
        <v>-12.2482017034817+251.51089479632i</v>
      </c>
      <c r="BM86" s="64">
        <f t="shared" si="155"/>
        <v>48.021423334127377</v>
      </c>
      <c r="BN86" s="61">
        <f t="shared" si="106"/>
        <v>92.788015578137177</v>
      </c>
      <c r="BO86" s="50">
        <f t="shared" si="156"/>
        <v>32.74861690756704</v>
      </c>
      <c r="BP86" s="61">
        <f t="shared" si="157"/>
        <v>92.065626776683132</v>
      </c>
    </row>
    <row r="87" spans="1:68" x14ac:dyDescent="0.25">
      <c r="N87" s="11">
        <v>69</v>
      </c>
      <c r="O87" s="51">
        <f t="shared" si="120"/>
        <v>48.977881936844632</v>
      </c>
      <c r="P87" s="49" t="str">
        <f t="shared" si="107"/>
        <v>37.1583961085025</v>
      </c>
      <c r="Q87" s="18" t="str">
        <f t="shared" si="108"/>
        <v>1+0.241207397487745i</v>
      </c>
      <c r="R87" s="18">
        <f t="shared" si="121"/>
        <v>1.0286792544825676</v>
      </c>
      <c r="S87" s="18">
        <f t="shared" si="122"/>
        <v>0.2366863065863391</v>
      </c>
      <c r="T87" s="18" t="str">
        <f t="shared" si="109"/>
        <v>1+0.000276963397346123i</v>
      </c>
      <c r="U87" s="18">
        <f t="shared" si="123"/>
        <v>1.000000038354361</v>
      </c>
      <c r="V87" s="18">
        <f t="shared" si="124"/>
        <v>2.7696339026428711E-4</v>
      </c>
      <c r="W87" s="32" t="str">
        <f t="shared" si="110"/>
        <v>1-0.00242423112549774i</v>
      </c>
      <c r="X87" s="18">
        <f t="shared" si="125"/>
        <v>1.0000029384439577</v>
      </c>
      <c r="Y87" s="18">
        <f t="shared" si="126"/>
        <v>-2.4242263765293062E-3</v>
      </c>
      <c r="Z87" s="32" t="str">
        <f t="shared" si="111"/>
        <v>0.999999940029177+0.00058367471514794i</v>
      </c>
      <c r="AA87" s="18">
        <f t="shared" si="127"/>
        <v>1.0000001103672593</v>
      </c>
      <c r="AB87" s="18">
        <f t="shared" si="128"/>
        <v>5.8367468387004063E-4</v>
      </c>
      <c r="AC87" s="32" t="str">
        <f>IMDIV(IMSUM(COMPLEX(0,2*PI()*O87*Constants!$B$61*Constants!$B$62),COMPLEX(1,0)),IMSUM(COMPLEX(0,2*PI()*O87*Constants!$B$61*Constants!$B$62),COMPLEX(2,0)))</f>
        <v>0.500000189404184+0.000307736991588966i</v>
      </c>
      <c r="AD87" s="18">
        <f t="shared" si="129"/>
        <v>0.50000028410619513</v>
      </c>
      <c r="AE87" s="18">
        <f t="shared" si="130"/>
        <v>6.1547367231589573E-4</v>
      </c>
      <c r="AF87" s="66" t="str">
        <f t="shared" si="131"/>
        <v>17.5487367406061-4.27218884867001i</v>
      </c>
      <c r="AG87" s="64">
        <f t="shared" si="132"/>
        <v>25.134969490641392</v>
      </c>
      <c r="AH87" s="61">
        <f t="shared" si="133"/>
        <v>-13.682333594723616</v>
      </c>
      <c r="AI87" s="50" t="str">
        <f t="shared" si="112"/>
        <v>107.538871525172</v>
      </c>
      <c r="AJ87" s="50" t="str">
        <f t="shared" si="113"/>
        <v>1+0.229304111439161i</v>
      </c>
      <c r="AK87" s="50">
        <f t="shared" si="134"/>
        <v>1.0259533983192917</v>
      </c>
      <c r="AL87" s="50">
        <f t="shared" si="135"/>
        <v>0.22540736200891048</v>
      </c>
      <c r="AM87" s="50" t="str">
        <f t="shared" si="114"/>
        <v>1+0.000276963397346123i</v>
      </c>
      <c r="AN87" s="50">
        <f t="shared" si="136"/>
        <v>1.000000038354361</v>
      </c>
      <c r="AO87" s="50">
        <f t="shared" si="137"/>
        <v>2.7696339026428711E-4</v>
      </c>
      <c r="AP87" s="50" t="str">
        <f t="shared" si="115"/>
        <v>1-0.000796317772416375i</v>
      </c>
      <c r="AQ87" s="50">
        <f t="shared" si="138"/>
        <v>1.0000003170609471</v>
      </c>
      <c r="AR87" s="50">
        <f t="shared" si="139"/>
        <v>-7.9631760409556757E-4</v>
      </c>
      <c r="AS87" s="59" t="str">
        <f t="shared" si="140"/>
        <v>102.154753146792-23.4803556830286i</v>
      </c>
      <c r="AT87" s="50">
        <f t="shared" si="141"/>
        <v>40.40875989673993</v>
      </c>
      <c r="AU87" s="61">
        <f t="shared" si="142"/>
        <v>-12.944647318812882</v>
      </c>
      <c r="AV87" s="32" t="str">
        <f t="shared" si="116"/>
        <v>-0.0000333333333333333</v>
      </c>
      <c r="AW87" s="32" t="str">
        <f t="shared" si="117"/>
        <v>0.0000147713811917932i</v>
      </c>
      <c r="AX87" s="32">
        <f t="shared" si="143"/>
        <v>1.47713811917932E-5</v>
      </c>
      <c r="AY87" s="32">
        <f t="shared" si="144"/>
        <v>1.5707963267948966</v>
      </c>
      <c r="AZ87" s="32" t="str">
        <f t="shared" si="118"/>
        <v>1+0.00602651836817954i</v>
      </c>
      <c r="BA87" s="32">
        <f t="shared" si="145"/>
        <v>1.000018159296941</v>
      </c>
      <c r="BB87" s="32">
        <f t="shared" si="146"/>
        <v>6.0264454108825572E-3</v>
      </c>
      <c r="BC87" s="32" t="str">
        <f t="shared" si="119"/>
        <v>1+0.289272881672618i</v>
      </c>
      <c r="BD87" s="32">
        <f t="shared" si="147"/>
        <v>1.0409989433573794</v>
      </c>
      <c r="BE87" s="32">
        <f t="shared" si="148"/>
        <v>0.28158658010812215</v>
      </c>
      <c r="BF87" s="59" t="str">
        <f t="shared" si="149"/>
        <v>-0.639155027318109+2.26046775723754i</v>
      </c>
      <c r="BG87" s="50">
        <f t="shared" si="150"/>
        <v>7.4180008365134871</v>
      </c>
      <c r="BH87" s="61">
        <f t="shared" si="151"/>
        <v>105.78843272020828</v>
      </c>
      <c r="BI87" s="59" t="str">
        <f t="shared" si="152"/>
        <v>-1.55921816559207+42.3989445626697i</v>
      </c>
      <c r="BJ87" s="64">
        <f t="shared" si="153"/>
        <v>32.552970327154881</v>
      </c>
      <c r="BK87" s="61">
        <f t="shared" si="154"/>
        <v>92.106099125484647</v>
      </c>
      <c r="BL87" s="59" t="str">
        <f t="shared" si="105"/>
        <v>-12.2161370882571+245.925113114908i</v>
      </c>
      <c r="BM87" s="64">
        <f t="shared" si="155"/>
        <v>47.826760733253408</v>
      </c>
      <c r="BN87" s="61">
        <f t="shared" si="106"/>
        <v>92.84378540139538</v>
      </c>
      <c r="BO87" s="50">
        <f t="shared" si="156"/>
        <v>32.552970327154881</v>
      </c>
      <c r="BP87" s="61">
        <f t="shared" si="157"/>
        <v>92.106099125484647</v>
      </c>
    </row>
    <row r="88" spans="1:68" x14ac:dyDescent="0.25">
      <c r="N88" s="11">
        <v>70</v>
      </c>
      <c r="O88" s="51">
        <f t="shared" si="120"/>
        <v>50.118723362727238</v>
      </c>
      <c r="P88" s="49" t="str">
        <f t="shared" si="107"/>
        <v>37.1583961085025</v>
      </c>
      <c r="Q88" s="18" t="str">
        <f t="shared" si="108"/>
        <v>1+0.246825839535488i</v>
      </c>
      <c r="R88" s="18">
        <f t="shared" si="121"/>
        <v>1.0300111625911625</v>
      </c>
      <c r="S88" s="18">
        <f t="shared" si="122"/>
        <v>0.24198899401639926</v>
      </c>
      <c r="T88" s="18" t="str">
        <f t="shared" si="109"/>
        <v>1+0.000283414703622558i</v>
      </c>
      <c r="U88" s="18">
        <f t="shared" si="123"/>
        <v>1.0000000401619462</v>
      </c>
      <c r="V88" s="18">
        <f t="shared" si="124"/>
        <v>2.8341469603423416E-4</v>
      </c>
      <c r="W88" s="32" t="str">
        <f t="shared" si="110"/>
        <v>1-0.00248069872239072i</v>
      </c>
      <c r="X88" s="18">
        <f t="shared" si="125"/>
        <v>1.0000030769283419</v>
      </c>
      <c r="Y88" s="18">
        <f t="shared" si="126"/>
        <v>-2.4806936337802093E-3</v>
      </c>
      <c r="Z88" s="32" t="str">
        <f t="shared" si="111"/>
        <v>0.999999937202839+0.000597270245782352i</v>
      </c>
      <c r="AA88" s="18">
        <f t="shared" si="127"/>
        <v>1.0000001155687075</v>
      </c>
      <c r="AB88" s="18">
        <f t="shared" si="128"/>
        <v>5.9727021226747942E-4</v>
      </c>
      <c r="AC88" s="32" t="str">
        <f>IMDIV(IMSUM(COMPLEX(0,2*PI()*O88*Constants!$B$61*Constants!$B$62),COMPLEX(1,0)),IMSUM(COMPLEX(0,2*PI()*O88*Constants!$B$61*Constants!$B$62),COMPLEX(2,0)))</f>
        <v>0.500000198330524+0.000314905101336648i</v>
      </c>
      <c r="AD88" s="18">
        <f t="shared" si="129"/>
        <v>0.50000029749569763</v>
      </c>
      <c r="AE88" s="18">
        <f t="shared" si="130"/>
        <v>6.2980986957864677E-4</v>
      </c>
      <c r="AF88" s="66" t="str">
        <f t="shared" si="131"/>
        <v>17.5029613675729-4.36040236697217i</v>
      </c>
      <c r="AG88" s="64">
        <f t="shared" si="132"/>
        <v>25.123731898896938</v>
      </c>
      <c r="AH88" s="61">
        <f t="shared" si="133"/>
        <v>-13.988978470271288</v>
      </c>
      <c r="AI88" s="50" t="str">
        <f t="shared" si="112"/>
        <v>107.538871525172</v>
      </c>
      <c r="AJ88" s="50" t="str">
        <f t="shared" si="113"/>
        <v>1+0.234645290336858i</v>
      </c>
      <c r="AK88" s="50">
        <f t="shared" si="134"/>
        <v>1.0271603634668096</v>
      </c>
      <c r="AL88" s="50">
        <f t="shared" si="135"/>
        <v>0.23047578785933556</v>
      </c>
      <c r="AM88" s="50" t="str">
        <f t="shared" si="114"/>
        <v>1+0.000283414703622558i</v>
      </c>
      <c r="AN88" s="50">
        <f t="shared" si="136"/>
        <v>1.0000000401619462</v>
      </c>
      <c r="AO88" s="50">
        <f t="shared" si="137"/>
        <v>2.8341469603423416E-4</v>
      </c>
      <c r="AP88" s="50" t="str">
        <f t="shared" si="115"/>
        <v>1-0.000814866396142296i</v>
      </c>
      <c r="AQ88" s="50">
        <f t="shared" si="138"/>
        <v>1.0000003320035666</v>
      </c>
      <c r="AR88" s="50">
        <f t="shared" si="139"/>
        <v>-8.1486621578330466E-4</v>
      </c>
      <c r="AS88" s="59" t="str">
        <f t="shared" si="140"/>
        <v>101.914249228947-23.970850315073i</v>
      </c>
      <c r="AT88" s="50">
        <f t="shared" si="141"/>
        <v>40.398547683352604</v>
      </c>
      <c r="AU88" s="61">
        <f t="shared" si="142"/>
        <v>-13.235739853389921</v>
      </c>
      <c r="AV88" s="32" t="str">
        <f t="shared" si="116"/>
        <v>-0.0000333333333333333</v>
      </c>
      <c r="AW88" s="32" t="str">
        <f t="shared" si="117"/>
        <v>0.0000151154508598697i</v>
      </c>
      <c r="AX88" s="32">
        <f t="shared" si="143"/>
        <v>1.51154508598697E-5</v>
      </c>
      <c r="AY88" s="32">
        <f t="shared" si="144"/>
        <v>1.5707963267948966</v>
      </c>
      <c r="AZ88" s="32" t="str">
        <f t="shared" si="118"/>
        <v>1+0.00616689401400936i</v>
      </c>
      <c r="BA88" s="32">
        <f t="shared" si="145"/>
        <v>1.0000190151101027</v>
      </c>
      <c r="BB88" s="32">
        <f t="shared" si="146"/>
        <v>6.1668158389374681E-3</v>
      </c>
      <c r="BC88" s="32" t="str">
        <f t="shared" si="119"/>
        <v>1+0.29601091267245i</v>
      </c>
      <c r="BD88" s="32">
        <f t="shared" si="147"/>
        <v>1.0428913943557003</v>
      </c>
      <c r="BE88" s="32">
        <f t="shared" si="148"/>
        <v>0.28779307525950559</v>
      </c>
      <c r="BF88" s="59" t="str">
        <f t="shared" si="149"/>
        <v>-0.639153933344813+2.2091906236786i</v>
      </c>
      <c r="BG88" s="50">
        <f t="shared" si="150"/>
        <v>7.233769305308801</v>
      </c>
      <c r="BH88" s="61">
        <f t="shared" si="151"/>
        <v>106.13599606485502</v>
      </c>
      <c r="BI88" s="59" t="str">
        <f t="shared" si="152"/>
        <v>-1.55412657868563+41.4543464636671i</v>
      </c>
      <c r="BJ88" s="64">
        <f t="shared" si="153"/>
        <v>32.357501204205739</v>
      </c>
      <c r="BK88" s="61">
        <f t="shared" si="154"/>
        <v>92.14701759458373</v>
      </c>
      <c r="BL88" s="59" t="str">
        <f t="shared" si="105"/>
        <v>-12.1827155009026+240.469067080332i</v>
      </c>
      <c r="BM88" s="64">
        <f t="shared" si="155"/>
        <v>47.632316988661394</v>
      </c>
      <c r="BN88" s="61">
        <f t="shared" si="106"/>
        <v>92.900256211465106</v>
      </c>
      <c r="BO88" s="50">
        <f t="shared" si="156"/>
        <v>32.357501204205739</v>
      </c>
      <c r="BP88" s="61">
        <f t="shared" si="157"/>
        <v>92.14701759458373</v>
      </c>
    </row>
    <row r="89" spans="1:68" x14ac:dyDescent="0.25">
      <c r="N89" s="11">
        <v>71</v>
      </c>
      <c r="O89" s="51">
        <f t="shared" si="120"/>
        <v>51.28613839913649</v>
      </c>
      <c r="P89" s="49" t="str">
        <f t="shared" si="107"/>
        <v>37.1583961085025</v>
      </c>
      <c r="Q89" s="18" t="str">
        <f t="shared" si="108"/>
        <v>1+0.252575151910479i</v>
      </c>
      <c r="R89" s="18">
        <f t="shared" si="121"/>
        <v>1.0314039981319645</v>
      </c>
      <c r="S89" s="18">
        <f t="shared" si="122"/>
        <v>0.24740086311844911</v>
      </c>
      <c r="T89" s="18" t="str">
        <f t="shared" si="109"/>
        <v>1+0.00029001628012629i</v>
      </c>
      <c r="U89" s="18">
        <f t="shared" si="123"/>
        <v>1.0000000420547206</v>
      </c>
      <c r="V89" s="18">
        <f t="shared" si="124"/>
        <v>2.9001627199525448E-4</v>
      </c>
      <c r="W89" s="32" t="str">
        <f t="shared" si="110"/>
        <v>1-0.00253848161858224i</v>
      </c>
      <c r="X89" s="18">
        <f t="shared" si="125"/>
        <v>1.0000032219392734</v>
      </c>
      <c r="Y89" s="18">
        <f t="shared" si="126"/>
        <v>-2.5384761660387895E-3</v>
      </c>
      <c r="Z89" s="32" t="str">
        <f t="shared" si="111"/>
        <v>0.9999999342433+0.000611182457006884i</v>
      </c>
      <c r="AA89" s="18">
        <f t="shared" si="127"/>
        <v>1.0000001210152927</v>
      </c>
      <c r="AB89" s="18">
        <f t="shared" si="128"/>
        <v>6.1118242109505113E-4</v>
      </c>
      <c r="AC89" s="32" t="str">
        <f>IMDIV(IMSUM(COMPLEX(0,2*PI()*O89*Constants!$B$61*Constants!$B$62),COMPLEX(1,0)),IMSUM(COMPLEX(0,2*PI()*O89*Constants!$B$61*Constants!$B$62),COMPLEX(2,0)))</f>
        <v>0.50000020767755+0.000322240177407276i</v>
      </c>
      <c r="AD89" s="18">
        <f t="shared" si="129"/>
        <v>0.50000031151622804</v>
      </c>
      <c r="AE89" s="18">
        <f t="shared" si="130"/>
        <v>6.4447999789723055E-4</v>
      </c>
      <c r="AF89" s="66" t="str">
        <f t="shared" si="131"/>
        <v>17.4552815885271-4.44992645961212i</v>
      </c>
      <c r="AG89" s="64">
        <f t="shared" si="132"/>
        <v>25.111995786331498</v>
      </c>
      <c r="AH89" s="61">
        <f t="shared" si="133"/>
        <v>-14.301944756295256</v>
      </c>
      <c r="AI89" s="50" t="str">
        <f t="shared" si="112"/>
        <v>107.538871525172</v>
      </c>
      <c r="AJ89" s="50" t="str">
        <f t="shared" si="113"/>
        <v>1+0.24011088127339i</v>
      </c>
      <c r="AK89" s="50">
        <f t="shared" si="134"/>
        <v>1.0284226929166256</v>
      </c>
      <c r="AL89" s="50">
        <f t="shared" si="135"/>
        <v>0.23564982043629554</v>
      </c>
      <c r="AM89" s="50" t="str">
        <f t="shared" si="114"/>
        <v>1+0.00029001628012629i</v>
      </c>
      <c r="AN89" s="50">
        <f t="shared" si="136"/>
        <v>1.0000000420547206</v>
      </c>
      <c r="AO89" s="50">
        <f t="shared" si="137"/>
        <v>2.9001627199525448E-4</v>
      </c>
      <c r="AP89" s="50" t="str">
        <f t="shared" si="115"/>
        <v>1-0.000833847072817484i</v>
      </c>
      <c r="AQ89" s="50">
        <f t="shared" si="138"/>
        <v>1.00000034765041</v>
      </c>
      <c r="AR89" s="50">
        <f t="shared" si="139"/>
        <v>-8.3384687955934654E-4</v>
      </c>
      <c r="AS89" s="59" t="str">
        <f t="shared" si="140"/>
        <v>101.663618612686-24.4690240082805i</v>
      </c>
      <c r="AT89" s="50">
        <f t="shared" si="141"/>
        <v>40.387879859397664</v>
      </c>
      <c r="AU89" s="61">
        <f t="shared" si="142"/>
        <v>-13.532899352598889</v>
      </c>
      <c r="AV89" s="32" t="str">
        <f t="shared" si="116"/>
        <v>-0.0000333333333333333</v>
      </c>
      <c r="AW89" s="32" t="str">
        <f t="shared" si="117"/>
        <v>0.0000154675349400688i</v>
      </c>
      <c r="AX89" s="32">
        <f t="shared" si="143"/>
        <v>1.54675349400688E-5</v>
      </c>
      <c r="AY89" s="32">
        <f t="shared" si="144"/>
        <v>1.5707963267948966</v>
      </c>
      <c r="AZ89" s="32" t="str">
        <f t="shared" si="118"/>
        <v>1+0.0063105394286739i</v>
      </c>
      <c r="BA89" s="32">
        <f t="shared" si="145"/>
        <v>1.0000199112557113</v>
      </c>
      <c r="BB89" s="32">
        <f t="shared" si="146"/>
        <v>6.310455662665259E-3</v>
      </c>
      <c r="BC89" s="32" t="str">
        <f t="shared" si="119"/>
        <v>1+0.302905892576348i</v>
      </c>
      <c r="BD89" s="32">
        <f t="shared" si="147"/>
        <v>1.0448693601390913</v>
      </c>
      <c r="BE89" s="32">
        <f t="shared" si="148"/>
        <v>0.29412061417588287</v>
      </c>
      <c r="BF89" s="59" t="str">
        <f t="shared" si="149"/>
        <v>-0.639152787818149+2.15908483159438i</v>
      </c>
      <c r="BG89" s="50">
        <f t="shared" si="150"/>
        <v>7.0502197270201492</v>
      </c>
      <c r="BH89" s="61">
        <f t="shared" si="151"/>
        <v>106.49030738379857</v>
      </c>
      <c r="BI89" s="59" t="str">
        <f t="shared" si="152"/>
        <v>-1.5488231687989+40.5316166112444i</v>
      </c>
      <c r="BJ89" s="64">
        <f t="shared" si="153"/>
        <v>32.162215513351661</v>
      </c>
      <c r="BK89" s="61">
        <f t="shared" si="154"/>
        <v>92.188362627503295</v>
      </c>
      <c r="BL89" s="59" t="str">
        <f t="shared" si="105"/>
        <v>-12.1478866757822+235.139821781728i</v>
      </c>
      <c r="BM89" s="64">
        <f t="shared" si="155"/>
        <v>47.438099586417806</v>
      </c>
      <c r="BN89" s="61">
        <f t="shared" si="106"/>
        <v>92.957408031199677</v>
      </c>
      <c r="BO89" s="50">
        <f t="shared" si="156"/>
        <v>32.162215513351661</v>
      </c>
      <c r="BP89" s="61">
        <f t="shared" si="157"/>
        <v>92.188362627503295</v>
      </c>
    </row>
    <row r="90" spans="1:68" x14ac:dyDescent="0.25">
      <c r="N90" s="11">
        <v>72</v>
      </c>
      <c r="O90" s="51">
        <f t="shared" si="120"/>
        <v>52.480746024977286</v>
      </c>
      <c r="P90" s="49" t="str">
        <f t="shared" si="107"/>
        <v>37.1583961085025</v>
      </c>
      <c r="Q90" s="18" t="str">
        <f t="shared" si="108"/>
        <v>1+0.25845838297424i</v>
      </c>
      <c r="R90" s="18">
        <f t="shared" si="121"/>
        <v>1.0328604628552973</v>
      </c>
      <c r="S90" s="18">
        <f t="shared" si="122"/>
        <v>0.25292351475772507</v>
      </c>
      <c r="T90" s="18" t="str">
        <f t="shared" si="109"/>
        <v>1+0.000296771627100565i</v>
      </c>
      <c r="U90" s="18">
        <f t="shared" si="123"/>
        <v>1.0000000440366983</v>
      </c>
      <c r="V90" s="18">
        <f t="shared" si="124"/>
        <v>2.9677161838800349E-4</v>
      </c>
      <c r="W90" s="32" t="str">
        <f t="shared" si="110"/>
        <v>1-0.00259761045132872i</v>
      </c>
      <c r="X90" s="18">
        <f t="shared" si="125"/>
        <v>1.0000033737843372</v>
      </c>
      <c r="Y90" s="18">
        <f t="shared" si="126"/>
        <v>-2.5976046088242145E-3</v>
      </c>
      <c r="Z90" s="32" t="str">
        <f t="shared" si="111"/>
        <v>0.999999931144282+0.000625418725260079i</v>
      </c>
      <c r="AA90" s="18">
        <f t="shared" si="127"/>
        <v>1.0000001267185672</v>
      </c>
      <c r="AB90" s="18">
        <f t="shared" si="128"/>
        <v>6.2541868677985714E-4</v>
      </c>
      <c r="AC90" s="32" t="str">
        <f>IMDIV(IMSUM(COMPLEX(0,2*PI()*O90*Constants!$B$61*Constants!$B$62),COMPLEX(1,0)),IMSUM(COMPLEX(0,2*PI()*O90*Constants!$B$61*Constants!$B$62),COMPLEX(2,0)))</f>
        <v>0.500000217465087+0.000329746108917365i</v>
      </c>
      <c r="AD90" s="18">
        <f t="shared" si="129"/>
        <v>0.50000032619752433</v>
      </c>
      <c r="AE90" s="18">
        <f t="shared" si="130"/>
        <v>6.594918353909591E-4</v>
      </c>
      <c r="AF90" s="66" t="str">
        <f t="shared" si="131"/>
        <v>17.405629812169-4.54074564595728i</v>
      </c>
      <c r="AG90" s="64">
        <f t="shared" si="132"/>
        <v>25.099740474060582</v>
      </c>
      <c r="AH90" s="61">
        <f t="shared" si="133"/>
        <v>-14.621325707338753</v>
      </c>
      <c r="AI90" s="50" t="str">
        <f t="shared" si="112"/>
        <v>107.538871525172</v>
      </c>
      <c r="AJ90" s="50" t="str">
        <f t="shared" si="113"/>
        <v>1+0.245703782177417i</v>
      </c>
      <c r="AK90" s="50">
        <f t="shared" si="134"/>
        <v>1.0297428555597206</v>
      </c>
      <c r="AL90" s="50">
        <f t="shared" si="135"/>
        <v>0.24093109449598996</v>
      </c>
      <c r="AM90" s="50" t="str">
        <f t="shared" si="114"/>
        <v>1+0.000296771627100565i</v>
      </c>
      <c r="AN90" s="50">
        <f t="shared" si="136"/>
        <v>1.0000000440366983</v>
      </c>
      <c r="AO90" s="50">
        <f t="shared" si="137"/>
        <v>2.9677161838800349E-4</v>
      </c>
      <c r="AP90" s="50" t="str">
        <f t="shared" si="115"/>
        <v>1-0.000853269866247953i</v>
      </c>
      <c r="AQ90" s="50">
        <f t="shared" si="138"/>
        <v>1.0000003640346662</v>
      </c>
      <c r="AR90" s="50">
        <f t="shared" si="139"/>
        <v>-8.5326965916813189E-4</v>
      </c>
      <c r="AS90" s="59" t="str">
        <f t="shared" si="140"/>
        <v>101.402490847685-24.9748207161307i</v>
      </c>
      <c r="AT90" s="50">
        <f t="shared" si="141"/>
        <v>40.376737291748761</v>
      </c>
      <c r="AU90" s="61">
        <f t="shared" si="142"/>
        <v>-13.836219857131804</v>
      </c>
      <c r="AV90" s="32" t="str">
        <f t="shared" si="116"/>
        <v>-0.0000333333333333333</v>
      </c>
      <c r="AW90" s="32" t="str">
        <f t="shared" si="117"/>
        <v>0.0000158278201120301i</v>
      </c>
      <c r="AX90" s="32">
        <f t="shared" si="143"/>
        <v>1.5827820112030101E-5</v>
      </c>
      <c r="AY90" s="32">
        <f t="shared" si="144"/>
        <v>1.5707963267948966</v>
      </c>
      <c r="AZ90" s="32" t="str">
        <f t="shared" si="118"/>
        <v>1+0.00645753077487341i</v>
      </c>
      <c r="BA90" s="32">
        <f t="shared" si="145"/>
        <v>1.0000208496345007</v>
      </c>
      <c r="BB90" s="32">
        <f t="shared" si="146"/>
        <v>6.4574410180790976E-3</v>
      </c>
      <c r="BC90" s="32" t="str">
        <f t="shared" si="119"/>
        <v>1+0.309961477193924i</v>
      </c>
      <c r="BD90" s="32">
        <f t="shared" si="147"/>
        <v>1.0469365393108789</v>
      </c>
      <c r="BE90" s="32">
        <f t="shared" si="148"/>
        <v>0.30057052432049702</v>
      </c>
      <c r="BF90" s="59" t="str">
        <f t="shared" si="149"/>
        <v>-0.639151588308886+2.11012381418522i</v>
      </c>
      <c r="BG90" s="50">
        <f t="shared" si="150"/>
        <v>6.8673788442958363</v>
      </c>
      <c r="BH90" s="61">
        <f t="shared" si="151"/>
        <v>106.85143837280816</v>
      </c>
      <c r="BI90" s="59" t="str">
        <f t="shared" si="152"/>
        <v>-1.54330041827201+39.6302587592703i</v>
      </c>
      <c r="BJ90" s="64">
        <f t="shared" si="153"/>
        <v>31.967119318356421</v>
      </c>
      <c r="BK90" s="61">
        <f t="shared" si="154"/>
        <v>92.23011266546942</v>
      </c>
      <c r="BL90" s="59" t="str">
        <f t="shared" si="105"/>
        <v>-12.1115991356614+229.934507083844i</v>
      </c>
      <c r="BM90" s="64">
        <f t="shared" si="155"/>
        <v>47.24411613604461</v>
      </c>
      <c r="BN90" s="61">
        <f t="shared" si="106"/>
        <v>93.015218515676352</v>
      </c>
      <c r="BO90" s="50">
        <f t="shared" si="156"/>
        <v>31.967119318356421</v>
      </c>
      <c r="BP90" s="61">
        <f t="shared" si="157"/>
        <v>92.23011266546942</v>
      </c>
    </row>
    <row r="91" spans="1:68" x14ac:dyDescent="0.25">
      <c r="N91" s="11">
        <v>73</v>
      </c>
      <c r="O91" s="51">
        <f t="shared" si="120"/>
        <v>53.703179637025293</v>
      </c>
      <c r="P91" s="49" t="str">
        <f t="shared" si="107"/>
        <v>37.1583961085025</v>
      </c>
      <c r="Q91" s="18" t="str">
        <f t="shared" si="108"/>
        <v>1+0.264478652093755i</v>
      </c>
      <c r="R91" s="18">
        <f t="shared" si="121"/>
        <v>1.0343833706190995</v>
      </c>
      <c r="S91" s="18">
        <f t="shared" si="122"/>
        <v>0.258558529035818</v>
      </c>
      <c r="T91" s="18" t="str">
        <f t="shared" si="109"/>
        <v>1+0.000303684326319765i</v>
      </c>
      <c r="U91" s="18">
        <f t="shared" si="123"/>
        <v>1.0000000461120839</v>
      </c>
      <c r="V91" s="18">
        <f t="shared" si="124"/>
        <v>3.0368431698408723E-4</v>
      </c>
      <c r="W91" s="32" t="str">
        <f t="shared" si="110"/>
        <v>1-0.00265811657151992i</v>
      </c>
      <c r="X91" s="18">
        <f t="shared" si="125"/>
        <v>1.0000035327856136</v>
      </c>
      <c r="Y91" s="18">
        <f t="shared" si="126"/>
        <v>-2.6581103111647459E-3</v>
      </c>
      <c r="Z91" s="32" t="str">
        <f t="shared" si="111"/>
        <v>0.999999927899212+0.0006399865987998i</v>
      </c>
      <c r="AA91" s="18">
        <f t="shared" si="127"/>
        <v>1.0000001326906294</v>
      </c>
      <c r="AB91" s="18">
        <f t="shared" si="128"/>
        <v>6.3998655756749981E-4</v>
      </c>
      <c r="AC91" s="32" t="str">
        <f>IMDIV(IMSUM(COMPLEX(0,2*PI()*O91*Constants!$B$61*Constants!$B$62),COMPLEX(1,0)),IMSUM(COMPLEX(0,2*PI()*O91*Constants!$B$61*Constants!$B$62),COMPLEX(2,0)))</f>
        <v>0.500000227713897+0.000337426875570535i</v>
      </c>
      <c r="AD91" s="18">
        <f t="shared" si="129"/>
        <v>0.50000034157072848</v>
      </c>
      <c r="AE91" s="18">
        <f t="shared" si="130"/>
        <v>6.7485334134521804E-4</v>
      </c>
      <c r="AF91" s="66" t="str">
        <f t="shared" si="131"/>
        <v>17.3539370960525-4.63284158096401i</v>
      </c>
      <c r="AG91" s="64">
        <f t="shared" si="132"/>
        <v>25.086944554786189</v>
      </c>
      <c r="AH91" s="61">
        <f t="shared" si="133"/>
        <v>-14.947213423949908</v>
      </c>
      <c r="AI91" s="50" t="str">
        <f t="shared" si="112"/>
        <v>107.538871525172</v>
      </c>
      <c r="AJ91" s="50" t="str">
        <f t="shared" si="113"/>
        <v>1+0.251426958479027i</v>
      </c>
      <c r="AK91" s="50">
        <f t="shared" si="134"/>
        <v>1.031123423965344</v>
      </c>
      <c r="AL91" s="50">
        <f t="shared" si="135"/>
        <v>0.24632123129101607</v>
      </c>
      <c r="AM91" s="50" t="str">
        <f t="shared" si="114"/>
        <v>1+0.000303684326319765i</v>
      </c>
      <c r="AN91" s="50">
        <f t="shared" si="136"/>
        <v>1.0000000461120839</v>
      </c>
      <c r="AO91" s="50">
        <f t="shared" si="137"/>
        <v>3.0368431698408723E-4</v>
      </c>
      <c r="AP91" s="50" t="str">
        <f t="shared" si="115"/>
        <v>1-0.000873145074655865i</v>
      </c>
      <c r="AQ91" s="50">
        <f t="shared" si="138"/>
        <v>1.000000381191088</v>
      </c>
      <c r="AR91" s="50">
        <f t="shared" si="139"/>
        <v>-8.7314485276584358E-4</v>
      </c>
      <c r="AS91" s="59" t="str">
        <f t="shared" si="140"/>
        <v>101.130486999533-25.4881699220492i</v>
      </c>
      <c r="AT91" s="50">
        <f t="shared" si="141"/>
        <v>40.365100151976108</v>
      </c>
      <c r="AU91" s="61">
        <f t="shared" si="142"/>
        <v>-14.145794642740503</v>
      </c>
      <c r="AV91" s="32" t="str">
        <f t="shared" si="116"/>
        <v>-0.0000333333333333333</v>
      </c>
      <c r="AW91" s="32" t="str">
        <f t="shared" si="117"/>
        <v>0.0000161964974037208i</v>
      </c>
      <c r="AX91" s="32">
        <f t="shared" si="143"/>
        <v>1.61964974037208E-5</v>
      </c>
      <c r="AY91" s="32">
        <f t="shared" si="144"/>
        <v>1.5707963267948966</v>
      </c>
      <c r="AZ91" s="32" t="str">
        <f t="shared" si="118"/>
        <v>1+0.00660794598936526i</v>
      </c>
      <c r="BA91" s="32">
        <f t="shared" si="145"/>
        <v>1.000021832236776</v>
      </c>
      <c r="BB91" s="32">
        <f t="shared" si="146"/>
        <v>6.6078498133407809E-3</v>
      </c>
      <c r="BC91" s="32" t="str">
        <f t="shared" si="119"/>
        <v>1+0.317181407489533i</v>
      </c>
      <c r="BD91" s="32">
        <f t="shared" si="147"/>
        <v>1.0490967759253869</v>
      </c>
      <c r="BE91" s="32">
        <f t="shared" si="148"/>
        <v>0.30714407813539185</v>
      </c>
      <c r="BF91" s="59" t="str">
        <f t="shared" si="149"/>
        <v>-0.639150332273313+2.06228161162286i</v>
      </c>
      <c r="BG91" s="50">
        <f t="shared" si="150"/>
        <v>6.6852742078261116</v>
      </c>
      <c r="BH91" s="61">
        <f t="shared" si="151"/>
        <v>107.21945747363361</v>
      </c>
      <c r="BI91" s="59" t="str">
        <f t="shared" si="152"/>
        <v>-1.53755065920827+38.7497875982917i</v>
      </c>
      <c r="BJ91" s="64">
        <f t="shared" si="153"/>
        <v>31.772218762612315</v>
      </c>
      <c r="BK91" s="61">
        <f t="shared" si="154"/>
        <v>92.272244049683692</v>
      </c>
      <c r="BL91" s="59" t="str">
        <f t="shared" si="105"/>
        <v>-12.0738002245525+224.850315988318i</v>
      </c>
      <c r="BM91" s="64">
        <f t="shared" si="155"/>
        <v>47.050374359802227</v>
      </c>
      <c r="BN91" s="61">
        <f t="shared" si="106"/>
        <v>93.073662830893085</v>
      </c>
      <c r="BO91" s="50">
        <f t="shared" si="156"/>
        <v>31.772218762612315</v>
      </c>
      <c r="BP91" s="61">
        <f t="shared" si="157"/>
        <v>92.272244049683692</v>
      </c>
    </row>
    <row r="92" spans="1:68" x14ac:dyDescent="0.25">
      <c r="N92" s="11">
        <v>74</v>
      </c>
      <c r="O92" s="51">
        <f t="shared" si="120"/>
        <v>54.95408738576247</v>
      </c>
      <c r="P92" s="49" t="str">
        <f t="shared" si="107"/>
        <v>37.1583961085025</v>
      </c>
      <c r="Q92" s="18" t="str">
        <f t="shared" si="108"/>
        <v>1+0.270639151295399i</v>
      </c>
      <c r="R92" s="18">
        <f t="shared" si="121"/>
        <v>1.0359756513615046</v>
      </c>
      <c r="S92" s="18">
        <f t="shared" si="122"/>
        <v>0.26430746167069302</v>
      </c>
      <c r="T92" s="18" t="str">
        <f t="shared" si="109"/>
        <v>1+0.000310758042988518i</v>
      </c>
      <c r="U92" s="18">
        <f t="shared" si="123"/>
        <v>1.0000000482852796</v>
      </c>
      <c r="V92" s="18">
        <f t="shared" si="124"/>
        <v>3.1075803298515899E-4</v>
      </c>
      <c r="W92" s="32" t="str">
        <f t="shared" si="110"/>
        <v>1-0.00272003206030168i</v>
      </c>
      <c r="X92" s="18">
        <f t="shared" si="125"/>
        <v>1.0000036992803623</v>
      </c>
      <c r="Y92" s="18">
        <f t="shared" si="126"/>
        <v>-2.7200253522115937E-3</v>
      </c>
      <c r="Z92" s="32" t="str">
        <f t="shared" si="111"/>
        <v>0.999999924501207+0.00065489380170543i</v>
      </c>
      <c r="AA92" s="18">
        <f t="shared" si="127"/>
        <v>1.000000138944146</v>
      </c>
      <c r="AB92" s="18">
        <f t="shared" si="128"/>
        <v>6.5489375752422426E-4</v>
      </c>
      <c r="AC92" s="32" t="str">
        <f>IMDIV(IMSUM(COMPLEX(0,2*PI()*O92*Constants!$B$61*Constants!$B$62),COMPLEX(1,0)),IMSUM(COMPLEX(0,2*PI()*O92*Constants!$B$61*Constants!$B$62),COMPLEX(2,0)))</f>
        <v>0.500000238445717+0.000345286549767409i</v>
      </c>
      <c r="AD92" s="18">
        <f t="shared" si="129"/>
        <v>0.5000003576684473</v>
      </c>
      <c r="AE92" s="18">
        <f t="shared" si="130"/>
        <v>6.9057266043068841E-4</v>
      </c>
      <c r="AF92" s="66" t="str">
        <f t="shared" si="131"/>
        <v>17.3001332201363-4.72619289055615i</v>
      </c>
      <c r="AG92" s="64">
        <f t="shared" si="132"/>
        <v>25.073585878768011</v>
      </c>
      <c r="AH92" s="61">
        <f t="shared" si="133"/>
        <v>-15.279698646102769</v>
      </c>
      <c r="AI92" s="50" t="str">
        <f t="shared" si="112"/>
        <v>107.538871525172</v>
      </c>
      <c r="AJ92" s="50" t="str">
        <f t="shared" si="113"/>
        <v>1+0.257283444682053i</v>
      </c>
      <c r="AK92" s="50">
        <f t="shared" si="134"/>
        <v>1.0325670781636722</v>
      </c>
      <c r="AL92" s="50">
        <f t="shared" si="135"/>
        <v>0.25182183538370451</v>
      </c>
      <c r="AM92" s="50" t="str">
        <f t="shared" si="114"/>
        <v>1+0.000310758042988518i</v>
      </c>
      <c r="AN92" s="50">
        <f t="shared" si="136"/>
        <v>1.0000000482852796</v>
      </c>
      <c r="AO92" s="50">
        <f t="shared" si="137"/>
        <v>3.1075803298515899E-4</v>
      </c>
      <c r="AP92" s="50" t="str">
        <f t="shared" si="115"/>
        <v>1-0.000893483236139804i</v>
      </c>
      <c r="AQ92" s="50">
        <f t="shared" si="138"/>
        <v>1.0000003991560669</v>
      </c>
      <c r="AR92" s="50">
        <f t="shared" si="139"/>
        <v>-8.9348299838036755E-4</v>
      </c>
      <c r="AS92" s="59" t="str">
        <f t="shared" si="140"/>
        <v>100.847219939623-26.0089857423557i</v>
      </c>
      <c r="AT92" s="50">
        <f t="shared" si="141"/>
        <v>40.352947900864208</v>
      </c>
      <c r="AU92" s="61">
        <f t="shared" si="142"/>
        <v>-14.461716037858551</v>
      </c>
      <c r="AV92" s="32" t="str">
        <f t="shared" si="116"/>
        <v>-0.0000333333333333333</v>
      </c>
      <c r="AW92" s="32" t="str">
        <f t="shared" si="117"/>
        <v>0.0000165737622927209i</v>
      </c>
      <c r="AX92" s="32">
        <f t="shared" si="143"/>
        <v>1.6573762292720898E-5</v>
      </c>
      <c r="AY92" s="32">
        <f t="shared" si="144"/>
        <v>1.5707963267948966</v>
      </c>
      <c r="AZ92" s="32" t="str">
        <f t="shared" si="118"/>
        <v>1+0.00676186482428719i</v>
      </c>
      <c r="BA92" s="32">
        <f t="shared" si="145"/>
        <v>1.0000228611466349</v>
      </c>
      <c r="BB92" s="32">
        <f t="shared" si="146"/>
        <v>6.7617617699474979E-3</v>
      </c>
      <c r="BC92" s="32" t="str">
        <f t="shared" si="119"/>
        <v>1+0.324569511565786i</v>
      </c>
      <c r="BD92" s="32">
        <f t="shared" si="147"/>
        <v>1.0513540639756205</v>
      </c>
      <c r="BE92" s="32">
        <f t="shared" si="148"/>
        <v>0.31384248776087681</v>
      </c>
      <c r="BF92" s="59" t="str">
        <f t="shared" si="149"/>
        <v>-0.639149017047903+2.01553285728603i</v>
      </c>
      <c r="BG92" s="50">
        <f t="shared" si="150"/>
        <v>6.5039341796846903</v>
      </c>
      <c r="BH92" s="61">
        <f t="shared" si="151"/>
        <v>107.59442956909351</v>
      </c>
      <c r="BI92" s="59" t="str">
        <f t="shared" si="152"/>
        <v>-1.53156608166033+37.889728480988i</v>
      </c>
      <c r="BJ92" s="64">
        <f t="shared" si="153"/>
        <v>31.577520058452691</v>
      </c>
      <c r="BK92" s="61">
        <f t="shared" si="154"/>
        <v>92.314730922990748</v>
      </c>
      <c r="BL92" s="59" t="str">
        <f t="shared" si="105"/>
        <v>-12.0344361480219+219.884503025901i</v>
      </c>
      <c r="BM92" s="64">
        <f t="shared" si="155"/>
        <v>46.856882080548914</v>
      </c>
      <c r="BN92" s="61">
        <f t="shared" si="106"/>
        <v>93.132713531234941</v>
      </c>
      <c r="BO92" s="50">
        <f t="shared" si="156"/>
        <v>31.577520058452691</v>
      </c>
      <c r="BP92" s="61">
        <f t="shared" si="157"/>
        <v>92.314730922990748</v>
      </c>
    </row>
    <row r="93" spans="1:68" x14ac:dyDescent="0.25">
      <c r="N93" s="11">
        <v>75</v>
      </c>
      <c r="O93" s="51">
        <f t="shared" si="120"/>
        <v>56.234132519034915</v>
      </c>
      <c r="P93" s="49" t="str">
        <f t="shared" si="107"/>
        <v>37.1583961085025</v>
      </c>
      <c r="Q93" s="18" t="str">
        <f t="shared" si="108"/>
        <v>1+0.276943146957393i</v>
      </c>
      <c r="R93" s="18">
        <f t="shared" si="121"/>
        <v>1.0376403551552262</v>
      </c>
      <c r="S93" s="18">
        <f t="shared" si="122"/>
        <v>0.27017184017244295</v>
      </c>
      <c r="T93" s="18" t="str">
        <f t="shared" si="109"/>
        <v>1+0.000317996527685031i</v>
      </c>
      <c r="U93" s="18">
        <f t="shared" si="123"/>
        <v>1.0000000505608946</v>
      </c>
      <c r="V93" s="18">
        <f t="shared" si="124"/>
        <v>3.1799651696623877E-4</v>
      </c>
      <c r="W93" s="32" t="str">
        <f t="shared" si="110"/>
        <v>1-0.00278338974608569i</v>
      </c>
      <c r="X93" s="18">
        <f t="shared" si="125"/>
        <v>1.0000038736217367</v>
      </c>
      <c r="Y93" s="18">
        <f t="shared" si="126"/>
        <v>-2.783382558239165E-3</v>
      </c>
      <c r="Z93" s="32" t="str">
        <f t="shared" si="111"/>
        <v>0.999999920943058+0.000670148237973268i</v>
      </c>
      <c r="AA93" s="18">
        <f t="shared" si="127"/>
        <v>1.000000145492381</v>
      </c>
      <c r="AB93" s="18">
        <f t="shared" si="128"/>
        <v>6.7014819063225377E-4</v>
      </c>
      <c r="AC93" s="32" t="str">
        <f>IMDIV(IMSUM(COMPLEX(0,2*PI()*O93*Constants!$B$61*Constants!$B$62),COMPLEX(1,0)),IMSUM(COMPLEX(0,2*PI()*O93*Constants!$B$61*Constants!$B$62),COMPLEX(2,0)))</f>
        <v>0.500000249683311+0.000353329298764643i</v>
      </c>
      <c r="AD93" s="18">
        <f t="shared" si="129"/>
        <v>0.50000037452482649</v>
      </c>
      <c r="AE93" s="18">
        <f t="shared" si="130"/>
        <v>7.0665812702077647E-4</v>
      </c>
      <c r="AF93" s="66" t="str">
        <f t="shared" si="131"/>
        <v>17.2441467720988-4.82077500381316i</v>
      </c>
      <c r="AG93" s="64">
        <f t="shared" si="132"/>
        <v>25.059641540641113</v>
      </c>
      <c r="AH93" s="61">
        <f t="shared" si="133"/>
        <v>-15.618870534934082</v>
      </c>
      <c r="AI93" s="50" t="str">
        <f t="shared" si="112"/>
        <v>107.538871525172</v>
      </c>
      <c r="AJ93" s="50" t="str">
        <f t="shared" si="113"/>
        <v>1+0.263276345972997i</v>
      </c>
      <c r="AK93" s="50">
        <f t="shared" si="134"/>
        <v>1.0340766095163807</v>
      </c>
      <c r="AL93" s="50">
        <f t="shared" si="135"/>
        <v>0.25743449126519757</v>
      </c>
      <c r="AM93" s="50" t="str">
        <f t="shared" si="114"/>
        <v>1+0.000317996527685031i</v>
      </c>
      <c r="AN93" s="50">
        <f t="shared" si="136"/>
        <v>1.0000000505608946</v>
      </c>
      <c r="AO93" s="50">
        <f t="shared" si="137"/>
        <v>3.1799651696623877E-4</v>
      </c>
      <c r="AP93" s="50" t="str">
        <f t="shared" si="115"/>
        <v>1-0.000914295134262191i</v>
      </c>
      <c r="AQ93" s="50">
        <f t="shared" si="138"/>
        <v>1.0000004179677089</v>
      </c>
      <c r="AR93" s="50">
        <f t="shared" si="139"/>
        <v>-9.1429487949837047E-4</v>
      </c>
      <c r="AS93" s="59" t="str">
        <f t="shared" si="140"/>
        <v>100.55229469298-26.5371660052111i</v>
      </c>
      <c r="AT93" s="50">
        <f t="shared" si="141"/>
        <v>40.340259273521262</v>
      </c>
      <c r="AU93" s="61">
        <f t="shared" si="142"/>
        <v>-14.784075230096933</v>
      </c>
      <c r="AV93" s="32" t="str">
        <f t="shared" si="116"/>
        <v>-0.0000333333333333333</v>
      </c>
      <c r="AW93" s="32" t="str">
        <f t="shared" si="117"/>
        <v>0.0000169598148098683i</v>
      </c>
      <c r="AX93" s="32">
        <f t="shared" si="143"/>
        <v>1.6959814809868301E-5</v>
      </c>
      <c r="AY93" s="32">
        <f t="shared" si="144"/>
        <v>1.5707963267948966</v>
      </c>
      <c r="AZ93" s="32" t="str">
        <f t="shared" si="118"/>
        <v>1+0.00691936888944281i</v>
      </c>
      <c r="BA93" s="32">
        <f t="shared" si="145"/>
        <v>1.0000239385463872</v>
      </c>
      <c r="BB93" s="32">
        <f t="shared" si="146"/>
        <v>6.9192584648711045E-3</v>
      </c>
      <c r="BC93" s="32" t="str">
        <f t="shared" si="119"/>
        <v>1+0.332129706693255i</v>
      </c>
      <c r="BD93" s="32">
        <f t="shared" si="147"/>
        <v>1.0537125519173374</v>
      </c>
      <c r="BE93" s="32">
        <f t="shared" si="148"/>
        <v>0.32066689954984751</v>
      </c>
      <c r="BF93" s="59" t="str">
        <f t="shared" si="149"/>
        <v>-0.639147639843626+1.96985276431041i</v>
      </c>
      <c r="BG93" s="50">
        <f t="shared" si="150"/>
        <v>6.3233879345736916</v>
      </c>
      <c r="BH93" s="61">
        <f t="shared" si="151"/>
        <v>107.97641566635447</v>
      </c>
      <c r="BI93" s="59" t="str">
        <f t="shared" si="152"/>
        <v>-1.52533874312415+37.0496171530976i</v>
      </c>
      <c r="BJ93" s="64">
        <f t="shared" si="153"/>
        <v>31.383029475214812</v>
      </c>
      <c r="BK93" s="61">
        <f t="shared" si="154"/>
        <v>92.35754513142038</v>
      </c>
      <c r="BL93" s="59" t="str">
        <f t="shared" si="105"/>
        <v>-11.9934520215496+215.034382679091i</v>
      </c>
      <c r="BM93" s="64">
        <f t="shared" si="155"/>
        <v>46.663647208094964</v>
      </c>
      <c r="BN93" s="61">
        <f t="shared" si="106"/>
        <v>93.192340436257538</v>
      </c>
      <c r="BO93" s="50">
        <f t="shared" si="156"/>
        <v>31.383029475214812</v>
      </c>
      <c r="BP93" s="61">
        <f t="shared" si="157"/>
        <v>92.35754513142038</v>
      </c>
    </row>
    <row r="94" spans="1:68" x14ac:dyDescent="0.25">
      <c r="N94" s="11">
        <v>76</v>
      </c>
      <c r="O94" s="51">
        <f t="shared" si="120"/>
        <v>57.543993733715695</v>
      </c>
      <c r="P94" s="49" t="str">
        <f t="shared" si="107"/>
        <v>37.1583961085025</v>
      </c>
      <c r="Q94" s="18" t="str">
        <f t="shared" si="108"/>
        <v>1+0.283393981541679i</v>
      </c>
      <c r="R94" s="18">
        <f t="shared" si="121"/>
        <v>1.0393806563401329</v>
      </c>
      <c r="S94" s="18">
        <f t="shared" si="122"/>
        <v>0.27615315981119964</v>
      </c>
      <c r="T94" s="18" t="str">
        <f t="shared" si="109"/>
        <v>1+0.000325403618349706i</v>
      </c>
      <c r="U94" s="18">
        <f t="shared" si="123"/>
        <v>1.000000052943756</v>
      </c>
      <c r="V94" s="18">
        <f t="shared" si="124"/>
        <v>3.2540360686431324E-4</v>
      </c>
      <c r="W94" s="32" t="str">
        <f t="shared" si="110"/>
        <v>1-0.0028482232219556i</v>
      </c>
      <c r="X94" s="18">
        <f t="shared" si="125"/>
        <v>1.0000040561795347</v>
      </c>
      <c r="Y94" s="18">
        <f t="shared" si="126"/>
        <v>-2.8482155200409728E-3</v>
      </c>
      <c r="Z94" s="32" t="str">
        <f t="shared" si="111"/>
        <v>0.99999991721722+0.000685757995707341i</v>
      </c>
      <c r="AA94" s="18">
        <f t="shared" si="127"/>
        <v>1.0000001523492261</v>
      </c>
      <c r="AB94" s="18">
        <f t="shared" si="128"/>
        <v>6.8575794498052997E-4</v>
      </c>
      <c r="AC94" s="32" t="str">
        <f>IMDIV(IMSUM(COMPLEX(0,2*PI()*O94*Constants!$B$61*Constants!$B$62),COMPLEX(1,0)),IMSUM(COMPLEX(0,2*PI()*O94*Constants!$B$61*Constants!$B$62),COMPLEX(2,0)))</f>
        <v>0.500000261450517+0.000361559386884241i</v>
      </c>
      <c r="AD94" s="18">
        <f t="shared" si="129"/>
        <v>0.50000039217562187</v>
      </c>
      <c r="AE94" s="18">
        <f t="shared" si="130"/>
        <v>7.2311826960957677E-4</v>
      </c>
      <c r="AF94" s="66" t="str">
        <f t="shared" si="131"/>
        <v>17.1859052452076-4.91655998254589i</v>
      </c>
      <c r="AG94" s="64">
        <f t="shared" si="132"/>
        <v>25.045087867211269</v>
      </c>
      <c r="AH94" s="61">
        <f t="shared" si="133"/>
        <v>-15.964816442591328</v>
      </c>
      <c r="AI94" s="50" t="str">
        <f t="shared" si="112"/>
        <v>107.538871525172</v>
      </c>
      <c r="AJ94" s="50" t="str">
        <f t="shared" si="113"/>
        <v>1+0.269408839867452i</v>
      </c>
      <c r="AK94" s="50">
        <f t="shared" si="134"/>
        <v>1.0356549246726567</v>
      </c>
      <c r="AL94" s="50">
        <f t="shared" si="135"/>
        <v>0.26316075977541731</v>
      </c>
      <c r="AM94" s="50" t="str">
        <f t="shared" si="114"/>
        <v>1+0.000325403618349706i</v>
      </c>
      <c r="AN94" s="50">
        <f t="shared" si="136"/>
        <v>1.000000052943756</v>
      </c>
      <c r="AO94" s="50">
        <f t="shared" si="137"/>
        <v>3.2540360686431324E-4</v>
      </c>
      <c r="AP94" s="50" t="str">
        <f t="shared" si="115"/>
        <v>1-0.000935591803766892i</v>
      </c>
      <c r="AQ94" s="50">
        <f t="shared" si="138"/>
        <v>1.000000437665916</v>
      </c>
      <c r="AR94" s="50">
        <f t="shared" si="139"/>
        <v>-9.3559153078254644E-4</v>
      </c>
      <c r="AS94" s="59" t="str">
        <f t="shared" si="140"/>
        <v>100.245308848379-27.072591307874i</v>
      </c>
      <c r="AT94" s="50">
        <f t="shared" si="141"/>
        <v>40.327012265190312</v>
      </c>
      <c r="AU94" s="61">
        <f t="shared" si="142"/>
        <v>-15.112962061337919</v>
      </c>
      <c r="AV94" s="32" t="str">
        <f t="shared" si="116"/>
        <v>-0.0000333333333333333</v>
      </c>
      <c r="AW94" s="32" t="str">
        <f t="shared" si="117"/>
        <v>0.0000173548596453176i</v>
      </c>
      <c r="AX94" s="32">
        <f t="shared" si="143"/>
        <v>1.7354859645317601E-5</v>
      </c>
      <c r="AY94" s="32">
        <f t="shared" si="144"/>
        <v>1.5707963267948966</v>
      </c>
      <c r="AZ94" s="32" t="str">
        <f t="shared" si="118"/>
        <v>1+0.0070805416955723i</v>
      </c>
      <c r="BA94" s="32">
        <f t="shared" si="145"/>
        <v>1.000025066721181</v>
      </c>
      <c r="BB94" s="32">
        <f t="shared" si="146"/>
        <v>7.0804233736721286E-3</v>
      </c>
      <c r="BC94" s="32" t="str">
        <f t="shared" si="119"/>
        <v>1+0.339866001387471i</v>
      </c>
      <c r="BD94" s="32">
        <f t="shared" si="147"/>
        <v>1.0561765472207325</v>
      </c>
      <c r="BE94" s="32">
        <f t="shared" si="148"/>
        <v>0.32761838838290208</v>
      </c>
      <c r="BF94" s="59" t="str">
        <f t="shared" si="149"/>
        <v>-0.639146197740076+1.9252171124461i</v>
      </c>
      <c r="BG94" s="50">
        <f t="shared" si="150"/>
        <v>6.1436654587820456</v>
      </c>
      <c r="BH94" s="61">
        <f t="shared" si="151"/>
        <v>108.36547256874097</v>
      </c>
      <c r="BI94" s="59" t="str">
        <f t="shared" si="152"/>
        <v>-1.51886057943062+36.2289994897561i</v>
      </c>
      <c r="BJ94" s="64">
        <f t="shared" si="153"/>
        <v>31.188753325993321</v>
      </c>
      <c r="BK94" s="61">
        <f t="shared" si="154"/>
        <v>92.400656126149642</v>
      </c>
      <c r="BL94" s="59" t="str">
        <f t="shared" si="105"/>
        <v>-11.9507919275425+210.297327834742i</v>
      </c>
      <c r="BM94" s="64">
        <f t="shared" si="155"/>
        <v>46.470677723972351</v>
      </c>
      <c r="BN94" s="61">
        <f t="shared" si="106"/>
        <v>93.252510507403059</v>
      </c>
      <c r="BO94" s="50">
        <f t="shared" si="156"/>
        <v>31.188753325993321</v>
      </c>
      <c r="BP94" s="61">
        <f t="shared" si="157"/>
        <v>92.400656126149642</v>
      </c>
    </row>
    <row r="95" spans="1:68" x14ac:dyDescent="0.25">
      <c r="N95" s="11">
        <v>77</v>
      </c>
      <c r="O95" s="51">
        <f t="shared" si="120"/>
        <v>58.884365535558949</v>
      </c>
      <c r="P95" s="49" t="str">
        <f t="shared" si="107"/>
        <v>37.1583961085025</v>
      </c>
      <c r="Q95" s="18" t="str">
        <f t="shared" si="108"/>
        <v>1+0.289995075366142i</v>
      </c>
      <c r="R95" s="18">
        <f t="shared" si="121"/>
        <v>1.0411998577298283</v>
      </c>
      <c r="S95" s="18">
        <f t="shared" si="122"/>
        <v>0.28225287937440185</v>
      </c>
      <c r="T95" s="18" t="str">
        <f t="shared" si="109"/>
        <v>1+0.000332983242320055i</v>
      </c>
      <c r="U95" s="18">
        <f t="shared" si="123"/>
        <v>1.0000000554389183</v>
      </c>
      <c r="V95" s="18">
        <f t="shared" si="124"/>
        <v>3.3298323001323499E-4</v>
      </c>
      <c r="W95" s="32" t="str">
        <f t="shared" si="110"/>
        <v>1-0.00291456686347848i</v>
      </c>
      <c r="X95" s="18">
        <f t="shared" si="125"/>
        <v>1.0000042473409809</v>
      </c>
      <c r="Y95" s="18">
        <f t="shared" si="126"/>
        <v>-2.9145586107301629E-3</v>
      </c>
      <c r="Z95" s="32" t="str">
        <f t="shared" si="111"/>
        <v>0.999999913315787+0.000701731351407818i</v>
      </c>
      <c r="AA95" s="18">
        <f t="shared" si="127"/>
        <v>1.0000001595292227</v>
      </c>
      <c r="AB95" s="18">
        <f t="shared" si="128"/>
        <v>7.0173129705306187E-4</v>
      </c>
      <c r="AC95" s="32" t="str">
        <f>IMDIV(IMSUM(COMPLEX(0,2*PI()*O95*Constants!$B$61*Constants!$B$62),COMPLEX(1,0)),IMSUM(COMPLEX(0,2*PI()*O95*Constants!$B$61*Constants!$B$62),COMPLEX(2,0)))</f>
        <v>0.500000273772294+0.000369981177774313i</v>
      </c>
      <c r="AD95" s="18">
        <f t="shared" si="129"/>
        <v>0.50000041065827217</v>
      </c>
      <c r="AE95" s="18">
        <f t="shared" si="130"/>
        <v>7.3996181533267738E-4</v>
      </c>
      <c r="AF95" s="66" t="str">
        <f t="shared" si="131"/>
        <v>17.1253351495329-5.01351634892702i</v>
      </c>
      <c r="AG95" s="64">
        <f t="shared" si="132"/>
        <v>25.029900406364675</v>
      </c>
      <c r="AH95" s="61">
        <f t="shared" si="133"/>
        <v>-16.317621670032249</v>
      </c>
      <c r="AI95" s="50" t="str">
        <f t="shared" si="112"/>
        <v>107.538871525172</v>
      </c>
      <c r="AJ95" s="50" t="str">
        <f t="shared" si="113"/>
        <v>1+0.275684177894851i</v>
      </c>
      <c r="AK95" s="50">
        <f t="shared" si="134"/>
        <v>1.0373050496076648</v>
      </c>
      <c r="AL95" s="50">
        <f t="shared" si="135"/>
        <v>0.26900217431953372</v>
      </c>
      <c r="AM95" s="50" t="str">
        <f t="shared" si="114"/>
        <v>1+0.000332983242320055i</v>
      </c>
      <c r="AN95" s="50">
        <f t="shared" si="136"/>
        <v>1.0000000554389183</v>
      </c>
      <c r="AO95" s="50">
        <f t="shared" si="137"/>
        <v>3.3298323001323499E-4</v>
      </c>
      <c r="AP95" s="50" t="str">
        <f t="shared" si="115"/>
        <v>1-0.000957384536429971i</v>
      </c>
      <c r="AQ95" s="50">
        <f t="shared" si="138"/>
        <v>1.0000004582924704</v>
      </c>
      <c r="AR95" s="50">
        <f t="shared" si="139"/>
        <v>-9.5738424392198204E-4</v>
      </c>
      <c r="AS95" s="59" t="str">
        <f t="shared" si="140"/>
        <v>99.9258530352423-27.6151240550099i</v>
      </c>
      <c r="AT95" s="50">
        <f t="shared" si="141"/>
        <v>40.313184117883374</v>
      </c>
      <c r="AU95" s="61">
        <f t="shared" si="142"/>
        <v>-15.448464811172395</v>
      </c>
      <c r="AV95" s="32" t="str">
        <f t="shared" si="116"/>
        <v>-0.0000333333333333333</v>
      </c>
      <c r="AW95" s="32" t="str">
        <f t="shared" si="117"/>
        <v>0.0000177591062570696i</v>
      </c>
      <c r="AX95" s="32">
        <f t="shared" si="143"/>
        <v>1.7759106257069601E-5</v>
      </c>
      <c r="AY95" s="32">
        <f t="shared" si="144"/>
        <v>1.5707963267948966</v>
      </c>
      <c r="AZ95" s="32" t="str">
        <f t="shared" si="118"/>
        <v>1+0.00724546869863082i</v>
      </c>
      <c r="BA95" s="32">
        <f t="shared" si="145"/>
        <v>1.0000262480638511</v>
      </c>
      <c r="BB95" s="32">
        <f t="shared" si="146"/>
        <v>7.2453419146102814E-3</v>
      </c>
      <c r="BC95" s="32" t="str">
        <f t="shared" si="119"/>
        <v>1+0.34778249753428i</v>
      </c>
      <c r="BD95" s="32">
        <f t="shared" si="147"/>
        <v>1.0587505209402173</v>
      </c>
      <c r="BE95" s="32">
        <f t="shared" si="148"/>
        <v>0.33469795179196843</v>
      </c>
      <c r="BF95" s="59" t="str">
        <f t="shared" si="149"/>
        <v>-0.639144687679249+1.88160223521542i</v>
      </c>
      <c r="BG95" s="50">
        <f t="shared" si="150"/>
        <v>5.9647975466597387</v>
      </c>
      <c r="BH95" s="61">
        <f t="shared" si="151"/>
        <v>108.76165253651646</v>
      </c>
      <c r="BI95" s="59" t="str">
        <f t="shared" si="152"/>
        <v>-1.51212341712054+35.4274312371841i</v>
      </c>
      <c r="BJ95" s="64">
        <f t="shared" si="153"/>
        <v>30.994697953024417</v>
      </c>
      <c r="BK95" s="61">
        <f t="shared" si="154"/>
        <v>92.444030866484212</v>
      </c>
      <c r="BL95" s="59" t="str">
        <f t="shared" si="105"/>
        <v>-11.9063989816347+205.670768266282i</v>
      </c>
      <c r="BM95" s="64">
        <f t="shared" si="155"/>
        <v>46.277981664543091</v>
      </c>
      <c r="BN95" s="61">
        <f t="shared" si="106"/>
        <v>93.313187725344065</v>
      </c>
      <c r="BO95" s="50">
        <f t="shared" si="156"/>
        <v>30.994697953024417</v>
      </c>
      <c r="BP95" s="61">
        <f t="shared" si="157"/>
        <v>92.444030866484212</v>
      </c>
    </row>
    <row r="96" spans="1:68" x14ac:dyDescent="0.25">
      <c r="N96" s="11">
        <v>78</v>
      </c>
      <c r="O96" s="51">
        <f t="shared" si="120"/>
        <v>60.255958607435822</v>
      </c>
      <c r="P96" s="49" t="str">
        <f t="shared" si="107"/>
        <v>37.1583961085025</v>
      </c>
      <c r="Q96" s="18" t="str">
        <f t="shared" si="108"/>
        <v>1+0.296749928418102i</v>
      </c>
      <c r="R96" s="18">
        <f t="shared" si="121"/>
        <v>1.0431013948874523</v>
      </c>
      <c r="S96" s="18">
        <f t="shared" si="122"/>
        <v>0.28847241671147228</v>
      </c>
      <c r="T96" s="18" t="str">
        <f t="shared" si="109"/>
        <v>1+0.000340739418413036i</v>
      </c>
      <c r="U96" s="18">
        <f t="shared" si="123"/>
        <v>1.0000000580516739</v>
      </c>
      <c r="V96" s="18">
        <f t="shared" si="124"/>
        <v>3.4073940522604077E-4</v>
      </c>
      <c r="W96" s="32" t="str">
        <f t="shared" si="110"/>
        <v>1-0.00298245584693122i</v>
      </c>
      <c r="X96" s="18">
        <f t="shared" si="125"/>
        <v>1.0000044475115493</v>
      </c>
      <c r="Y96" s="18">
        <f t="shared" si="126"/>
        <v>-2.9824470039542012E-3</v>
      </c>
      <c r="Z96" s="32" t="str">
        <f t="shared" si="111"/>
        <v>0.999999909230486+0.000718076774359323i</v>
      </c>
      <c r="AA96" s="18">
        <f t="shared" si="127"/>
        <v>1.0000001670476031</v>
      </c>
      <c r="AB96" s="18">
        <f t="shared" si="128"/>
        <v>7.1807671611715267E-4</v>
      </c>
      <c r="AC96" s="32" t="str">
        <f>IMDIV(IMSUM(COMPLEX(0,2*PI()*O96*Constants!$B$61*Constants!$B$62),COMPLEX(1,0)),IMSUM(COMPLEX(0,2*PI()*O96*Constants!$B$61*Constants!$B$62),COMPLEX(2,0)))</f>
        <v>0.500000286674777+0.000378599136722492i</v>
      </c>
      <c r="AD96" s="18">
        <f t="shared" si="129"/>
        <v>0.50000043001198058</v>
      </c>
      <c r="AE96" s="18">
        <f t="shared" si="130"/>
        <v>7.5719769459322477E-4</v>
      </c>
      <c r="AF96" s="66" t="str">
        <f t="shared" si="131"/>
        <v>17.0623621372966-5.11160891194019i</v>
      </c>
      <c r="AG96" s="64">
        <f t="shared" si="132"/>
        <v>25.01405391724078</v>
      </c>
      <c r="AH96" s="61">
        <f t="shared" si="133"/>
        <v>-16.677369212664217</v>
      </c>
      <c r="AI96" s="50" t="str">
        <f t="shared" si="112"/>
        <v>107.538871525172</v>
      </c>
      <c r="AJ96" s="50" t="str">
        <f t="shared" si="113"/>
        <v>1+0.282105687322482i</v>
      </c>
      <c r="AK96" s="50">
        <f t="shared" si="134"/>
        <v>1.0390301337399652</v>
      </c>
      <c r="AL96" s="50">
        <f t="shared" si="135"/>
        <v>0.27496023687726417</v>
      </c>
      <c r="AM96" s="50" t="str">
        <f t="shared" si="114"/>
        <v>1+0.000340739418413036i</v>
      </c>
      <c r="AN96" s="50">
        <f t="shared" si="136"/>
        <v>1.0000000580516739</v>
      </c>
      <c r="AO96" s="50">
        <f t="shared" si="137"/>
        <v>3.4073940522604077E-4</v>
      </c>
      <c r="AP96" s="50" t="str">
        <f t="shared" si="115"/>
        <v>1-0.000979684887046747i</v>
      </c>
      <c r="AQ96" s="50">
        <f t="shared" si="138"/>
        <v>1.0000004798911237</v>
      </c>
      <c r="AR96" s="50">
        <f t="shared" si="139"/>
        <v>-9.7968457361879806E-4</v>
      </c>
      <c r="AS96" s="59" t="str">
        <f t="shared" si="140"/>
        <v>99.5935114718279-28.1646074812825i</v>
      </c>
      <c r="AT96" s="50">
        <f t="shared" si="141"/>
        <v>40.298751307965858</v>
      </c>
      <c r="AU96" s="61">
        <f t="shared" si="142"/>
        <v>-15.790669968473798</v>
      </c>
      <c r="AV96" s="32" t="str">
        <f t="shared" si="116"/>
        <v>-0.0000333333333333333</v>
      </c>
      <c r="AW96" s="32" t="str">
        <f t="shared" si="117"/>
        <v>0.0000181727689820286i</v>
      </c>
      <c r="AX96" s="32">
        <f t="shared" si="143"/>
        <v>1.8172768982028599E-5</v>
      </c>
      <c r="AY96" s="32">
        <f t="shared" si="144"/>
        <v>1.5707963267948966</v>
      </c>
      <c r="AZ96" s="32" t="str">
        <f t="shared" si="118"/>
        <v>1+0.00741423734509847i</v>
      </c>
      <c r="BA96" s="32">
        <f t="shared" si="145"/>
        <v>1.00002748507999</v>
      </c>
      <c r="BB96" s="32">
        <f t="shared" si="146"/>
        <v>7.4141014937745241E-3</v>
      </c>
      <c r="BC96" s="32" t="str">
        <f t="shared" si="119"/>
        <v>1+0.355883392564727i</v>
      </c>
      <c r="BD96" s="32">
        <f t="shared" si="147"/>
        <v>1.061439112292071</v>
      </c>
      <c r="BE96" s="32">
        <f t="shared" si="148"/>
        <v>0.34190650390220989</v>
      </c>
      <c r="BF96" s="59" t="str">
        <f t="shared" si="149"/>
        <v>-0.639143106459099+1.83898500736432i</v>
      </c>
      <c r="BG96" s="50">
        <f t="shared" si="150"/>
        <v>5.7868157944071976</v>
      </c>
      <c r="BH96" s="61">
        <f t="shared" si="151"/>
        <v>109.16500293719484</v>
      </c>
      <c r="BI96" s="59" t="str">
        <f t="shared" si="152"/>
        <v>-1.50511898739401+34.6444777596905i</v>
      </c>
      <c r="BJ96" s="64">
        <f t="shared" si="153"/>
        <v>30.800869711647962</v>
      </c>
      <c r="BK96" s="61">
        <f t="shared" si="154"/>
        <v>92.487633724530639</v>
      </c>
      <c r="BL96" s="59" t="str">
        <f t="shared" si="105"/>
        <v>-11.8602154088945+201.152189145246i</v>
      </c>
      <c r="BM96" s="64">
        <f t="shared" si="155"/>
        <v>46.085567102373055</v>
      </c>
      <c r="BN96" s="61">
        <f t="shared" si="106"/>
        <v>93.374332968721035</v>
      </c>
      <c r="BO96" s="50">
        <f t="shared" si="156"/>
        <v>30.800869711647962</v>
      </c>
      <c r="BP96" s="61">
        <f t="shared" si="157"/>
        <v>92.487633724530639</v>
      </c>
    </row>
    <row r="97" spans="14:68" x14ac:dyDescent="0.25">
      <c r="N97" s="11">
        <v>79</v>
      </c>
      <c r="O97" s="51">
        <f t="shared" si="120"/>
        <v>61.659500186148257</v>
      </c>
      <c r="P97" s="49" t="str">
        <f t="shared" si="107"/>
        <v>37.1583961085025</v>
      </c>
      <c r="Q97" s="18" t="str">
        <f t="shared" si="108"/>
        <v>1+0.303662122210059i</v>
      </c>
      <c r="R97" s="18">
        <f t="shared" si="121"/>
        <v>1.0450888404653054</v>
      </c>
      <c r="S97" s="18">
        <f t="shared" si="122"/>
        <v>0.29481314406499431</v>
      </c>
      <c r="T97" s="18" t="str">
        <f t="shared" si="109"/>
        <v>1+0.00034867625905588i</v>
      </c>
      <c r="U97" s="18">
        <f t="shared" si="123"/>
        <v>1.000000060787565</v>
      </c>
      <c r="V97" s="18">
        <f t="shared" si="124"/>
        <v>3.4867624492576009E-4</v>
      </c>
      <c r="W97" s="32" t="str">
        <f t="shared" si="110"/>
        <v>1-0.00305192616795148i</v>
      </c>
      <c r="X97" s="18">
        <f t="shared" si="125"/>
        <v>1.000004657115823</v>
      </c>
      <c r="Y97" s="18">
        <f t="shared" si="126"/>
        <v>-3.0519166925332716E-3</v>
      </c>
      <c r="Z97" s="32" t="str">
        <f t="shared" si="111"/>
        <v>0.999999904952651+0.000734802931121464i</v>
      </c>
      <c r="AA97" s="18">
        <f t="shared" si="127"/>
        <v>1.000000174920314</v>
      </c>
      <c r="AB97" s="18">
        <f t="shared" si="128"/>
        <v>7.3480286871385444E-4</v>
      </c>
      <c r="AC97" s="32" t="str">
        <f>IMDIV(IMSUM(COMPLEX(0,2*PI()*O97*Constants!$B$61*Constants!$B$62),COMPLEX(1,0)),IMSUM(COMPLEX(0,2*PI()*O97*Constants!$B$61*Constants!$B$62),COMPLEX(2,0)))</f>
        <v>0.500000300185335+0.000387417833023199i</v>
      </c>
      <c r="AD97" s="18">
        <f t="shared" si="129"/>
        <v>0.50000045027779982</v>
      </c>
      <c r="AE97" s="18">
        <f t="shared" si="130"/>
        <v>7.7483504579562823E-4</v>
      </c>
      <c r="AF97" s="66" t="str">
        <f t="shared" si="131"/>
        <v>16.9969111431286-5.21079859351245i</v>
      </c>
      <c r="AG97" s="64">
        <f t="shared" si="132"/>
        <v>24.997522361821115</v>
      </c>
      <c r="AH97" s="61">
        <f t="shared" si="133"/>
        <v>-17.044139493771997</v>
      </c>
      <c r="AI97" s="50" t="str">
        <f t="shared" si="112"/>
        <v>107.538871525172</v>
      </c>
      <c r="AJ97" s="50" t="str">
        <f t="shared" si="113"/>
        <v>1+0.288676772919642i</v>
      </c>
      <c r="AK97" s="50">
        <f t="shared" si="134"/>
        <v>1.0408334541238087</v>
      </c>
      <c r="AL97" s="50">
        <f t="shared" si="135"/>
        <v>0.28103641380199562</v>
      </c>
      <c r="AM97" s="50" t="str">
        <f t="shared" si="114"/>
        <v>1+0.00034867625905588i</v>
      </c>
      <c r="AN97" s="50">
        <f t="shared" si="136"/>
        <v>1.000000060787565</v>
      </c>
      <c r="AO97" s="50">
        <f t="shared" si="137"/>
        <v>3.4867624492576009E-4</v>
      </c>
      <c r="AP97" s="50" t="str">
        <f t="shared" si="115"/>
        <v>1-0.0010025046795583i</v>
      </c>
      <c r="AQ97" s="50">
        <f t="shared" si="138"/>
        <v>1.0000005025076899</v>
      </c>
      <c r="AR97" s="50">
        <f t="shared" si="139"/>
        <v>-1.0025043437142109E-3</v>
      </c>
      <c r="AS97" s="59" t="str">
        <f t="shared" si="140"/>
        <v>99.2478625892656-28.7208646619532i</v>
      </c>
      <c r="AT97" s="50">
        <f t="shared" si="141"/>
        <v>40.283689534827829</v>
      </c>
      <c r="AU97" s="61">
        <f t="shared" si="142"/>
        <v>-16.139661990934162</v>
      </c>
      <c r="AV97" s="32" t="str">
        <f t="shared" si="116"/>
        <v>-0.0000333333333333333</v>
      </c>
      <c r="AW97" s="32" t="str">
        <f t="shared" si="117"/>
        <v>0.0000185960671496469i</v>
      </c>
      <c r="AX97" s="32">
        <f t="shared" si="143"/>
        <v>1.8596067149646899E-5</v>
      </c>
      <c r="AY97" s="32">
        <f t="shared" si="144"/>
        <v>1.5707963267948966</v>
      </c>
      <c r="AZ97" s="32" t="str">
        <f t="shared" si="118"/>
        <v>1+0.00758693711834553i</v>
      </c>
      <c r="BA97" s="32">
        <f t="shared" si="145"/>
        <v>1.0000287803932633</v>
      </c>
      <c r="BB97" s="32">
        <f t="shared" si="146"/>
        <v>7.5867915512555411E-3</v>
      </c>
      <c r="BC97" s="32" t="str">
        <f t="shared" si="119"/>
        <v>1+0.364172981680586i</v>
      </c>
      <c r="BD97" s="32">
        <f t="shared" si="147"/>
        <v>1.0642471332289922</v>
      </c>
      <c r="BE97" s="32">
        <f t="shared" si="148"/>
        <v>0.34924486920403691</v>
      </c>
      <c r="BF97" s="59" t="str">
        <f t="shared" si="149"/>
        <v>-0.639141450726729+1.7973428326007i</v>
      </c>
      <c r="BG97" s="50">
        <f t="shared" si="150"/>
        <v>5.6097525909749413</v>
      </c>
      <c r="BH97" s="61">
        <f t="shared" si="151"/>
        <v>109.5755658860574</v>
      </c>
      <c r="BI97" s="59" t="str">
        <f t="shared" si="152"/>
        <v>-1.49783894171711+33.8797137919555i</v>
      </c>
      <c r="BJ97" s="64">
        <f t="shared" si="153"/>
        <v>30.607274952796057</v>
      </c>
      <c r="BK97" s="61">
        <f t="shared" si="154"/>
        <v>92.531426392285411</v>
      </c>
      <c r="BL97" s="59" t="str">
        <f t="shared" si="105"/>
        <v>-11.812182630574+196.739129581922i</v>
      </c>
      <c r="BM97" s="64">
        <f t="shared" si="155"/>
        <v>45.89344212580275</v>
      </c>
      <c r="BN97" s="61">
        <f t="shared" si="106"/>
        <v>93.435903895123261</v>
      </c>
      <c r="BO97" s="50">
        <f t="shared" si="156"/>
        <v>30.607274952796057</v>
      </c>
      <c r="BP97" s="61">
        <f t="shared" si="157"/>
        <v>92.531426392285411</v>
      </c>
    </row>
    <row r="98" spans="14:68" x14ac:dyDescent="0.25">
      <c r="N98" s="11">
        <v>80</v>
      </c>
      <c r="O98" s="51">
        <f t="shared" si="120"/>
        <v>63.095734448019364</v>
      </c>
      <c r="P98" s="49" t="str">
        <f t="shared" si="107"/>
        <v>37.1583961085025</v>
      </c>
      <c r="Q98" s="18" t="str">
        <f t="shared" si="108"/>
        <v>1+0.310735321678655i</v>
      </c>
      <c r="R98" s="18">
        <f t="shared" si="121"/>
        <v>1.0471659086022316</v>
      </c>
      <c r="S98" s="18">
        <f t="shared" si="122"/>
        <v>0.30127638318856625</v>
      </c>
      <c r="T98" s="18" t="str">
        <f t="shared" si="109"/>
        <v>1+0.00035679797246655i</v>
      </c>
      <c r="U98" s="18">
        <f t="shared" si="123"/>
        <v>1.0000000636523945</v>
      </c>
      <c r="V98" s="18">
        <f t="shared" si="124"/>
        <v>3.567979573258538E-4</v>
      </c>
      <c r="W98" s="32" t="str">
        <f t="shared" si="110"/>
        <v>1-0.003123014660623i</v>
      </c>
      <c r="X98" s="18">
        <f t="shared" si="125"/>
        <v>1.0000048765983947</v>
      </c>
      <c r="Y98" s="18">
        <f t="shared" si="126"/>
        <v>-3.1230045075321382E-3</v>
      </c>
      <c r="Z98" s="32" t="str">
        <f t="shared" si="111"/>
        <v>0.999999900473207+0.000751918690123951i</v>
      </c>
      <c r="AA98" s="18">
        <f t="shared" si="127"/>
        <v>1.0000001831640535</v>
      </c>
      <c r="AB98" s="18">
        <f t="shared" si="128"/>
        <v>7.5191862325299356E-4</v>
      </c>
      <c r="AC98" s="32" t="str">
        <f>IMDIV(IMSUM(COMPLEX(0,2*PI()*O98*Constants!$B$61*Constants!$B$62),COMPLEX(1,0)),IMSUM(COMPLEX(0,2*PI()*O98*Constants!$B$61*Constants!$B$62),COMPLEX(2,0)))</f>
        <v>0.500000314332625+0.00039644194240007i</v>
      </c>
      <c r="AD98" s="18">
        <f t="shared" si="129"/>
        <v>0.50000047149871529</v>
      </c>
      <c r="AE98" s="18">
        <f t="shared" si="130"/>
        <v>7.9288322018953965E-4</v>
      </c>
      <c r="AF98" s="66" t="str">
        <f t="shared" si="131"/>
        <v>16.9289065399868-5.31104225530286i</v>
      </c>
      <c r="AG98" s="64">
        <f t="shared" si="132"/>
        <v>24.980278898098508</v>
      </c>
      <c r="AH98" s="61">
        <f t="shared" si="133"/>
        <v>-17.418010085745287</v>
      </c>
      <c r="AI98" s="50" t="str">
        <f t="shared" si="112"/>
        <v>107.538871525172</v>
      </c>
      <c r="AJ98" s="50" t="str">
        <f t="shared" si="113"/>
        <v>1+0.295400918762891i</v>
      </c>
      <c r="AK98" s="50">
        <f t="shared" si="134"/>
        <v>1.0427184197116497</v>
      </c>
      <c r="AL98" s="50">
        <f t="shared" si="135"/>
        <v>0.28723213140764031</v>
      </c>
      <c r="AM98" s="50" t="str">
        <f t="shared" si="114"/>
        <v>1+0.00035679797246655i</v>
      </c>
      <c r="AN98" s="50">
        <f t="shared" si="136"/>
        <v>1.0000000636523945</v>
      </c>
      <c r="AO98" s="50">
        <f t="shared" si="137"/>
        <v>3.567979573258538E-4</v>
      </c>
      <c r="AP98" s="50" t="str">
        <f t="shared" si="115"/>
        <v>1-0.00102585601332067i</v>
      </c>
      <c r="AQ98" s="50">
        <f t="shared" si="138"/>
        <v>1.0000005261901417</v>
      </c>
      <c r="AR98" s="50">
        <f t="shared" si="139"/>
        <v>-1.0258556534572553E-3</v>
      </c>
      <c r="AS98" s="59" t="str">
        <f t="shared" si="140"/>
        <v>98.8884797359766-29.2836975157713i</v>
      </c>
      <c r="AT98" s="50">
        <f t="shared" si="141"/>
        <v>40.267973710786869</v>
      </c>
      <c r="AU98" s="61">
        <f t="shared" si="142"/>
        <v>-16.495523052443918</v>
      </c>
      <c r="AV98" s="32" t="str">
        <f t="shared" si="116"/>
        <v>-0.0000333333333333333</v>
      </c>
      <c r="AW98" s="32" t="str">
        <f t="shared" si="117"/>
        <v>0.000019029225198216i</v>
      </c>
      <c r="AX98" s="32">
        <f t="shared" si="143"/>
        <v>1.9029225198215998E-5</v>
      </c>
      <c r="AY98" s="32">
        <f t="shared" si="144"/>
        <v>1.5707963267948966</v>
      </c>
      <c r="AZ98" s="32" t="str">
        <f t="shared" si="118"/>
        <v>1+0.00776365958607772i</v>
      </c>
      <c r="BA98" s="32">
        <f t="shared" si="145"/>
        <v>1.0000301367509723</v>
      </c>
      <c r="BB98" s="32">
        <f t="shared" si="146"/>
        <v>7.7635036083844597E-3</v>
      </c>
      <c r="BC98" s="32" t="str">
        <f t="shared" si="119"/>
        <v>1+0.372655660131731i</v>
      </c>
      <c r="BD98" s="32">
        <f t="shared" si="147"/>
        <v>1.0671795729998848</v>
      </c>
      <c r="BE98" s="32">
        <f t="shared" si="148"/>
        <v>0.35671377616937278</v>
      </c>
      <c r="BF98" s="59" t="str">
        <f t="shared" si="149"/>
        <v>-0.639139716971286+1.75665363161329i</v>
      </c>
      <c r="BG98" s="50">
        <f t="shared" si="150"/>
        <v>5.4336411058676681</v>
      </c>
      <c r="BH98" s="61">
        <f t="shared" si="151"/>
        <v>109.99337787768434</v>
      </c>
      <c r="BI98" s="59" t="str">
        <f t="shared" si="152"/>
        <v>-1.49027486917111+33.1327231965866i</v>
      </c>
      <c r="BJ98" s="64">
        <f t="shared" si="153"/>
        <v>30.413920003966179</v>
      </c>
      <c r="BK98" s="61">
        <f t="shared" si="154"/>
        <v>92.575367791939058</v>
      </c>
      <c r="BL98" s="59" t="str">
        <f t="shared" si="105"/>
        <v>-11.7622413620281+192.429181195023i</v>
      </c>
      <c r="BM98" s="64">
        <f t="shared" si="155"/>
        <v>45.701614816654519</v>
      </c>
      <c r="BN98" s="61">
        <f t="shared" si="106"/>
        <v>93.497854825240424</v>
      </c>
      <c r="BO98" s="50">
        <f t="shared" si="156"/>
        <v>30.413920003966179</v>
      </c>
      <c r="BP98" s="61">
        <f t="shared" si="157"/>
        <v>92.575367791939058</v>
      </c>
    </row>
    <row r="99" spans="14:68" x14ac:dyDescent="0.25">
      <c r="N99" s="11">
        <v>81</v>
      </c>
      <c r="O99" s="51">
        <f t="shared" si="120"/>
        <v>64.565422903465588</v>
      </c>
      <c r="P99" s="49" t="str">
        <f t="shared" si="107"/>
        <v>37.1583961085025</v>
      </c>
      <c r="Q99" s="18" t="str">
        <f t="shared" si="108"/>
        <v>1+0.317973277127874i</v>
      </c>
      <c r="R99" s="18">
        <f t="shared" si="121"/>
        <v>1.0493364593720356</v>
      </c>
      <c r="S99" s="18">
        <f t="shared" si="122"/>
        <v>0.30786340025280678</v>
      </c>
      <c r="T99" s="18" t="str">
        <f t="shared" si="109"/>
        <v>1+0.000365108864885002i</v>
      </c>
      <c r="U99" s="18">
        <f t="shared" si="123"/>
        <v>1.0000000666522393</v>
      </c>
      <c r="V99" s="18">
        <f t="shared" si="124"/>
        <v>3.6510884866145378E-4</v>
      </c>
      <c r="W99" s="32" t="str">
        <f t="shared" si="110"/>
        <v>1-0.00319575901700558i</v>
      </c>
      <c r="X99" s="18">
        <f t="shared" si="125"/>
        <v>1.0000051064248097</v>
      </c>
      <c r="Y99" s="18">
        <f t="shared" si="126"/>
        <v>-3.1957481377757144E-3</v>
      </c>
      <c r="Z99" s="32" t="str">
        <f t="shared" si="111"/>
        <v>0.999999895782654+0.000769433126368762i</v>
      </c>
      <c r="AA99" s="18">
        <f t="shared" si="127"/>
        <v>1.0000001917963091</v>
      </c>
      <c r="AB99" s="18">
        <f t="shared" si="128"/>
        <v>7.694330547152404E-4</v>
      </c>
      <c r="AC99" s="32" t="str">
        <f>IMDIV(IMSUM(COMPLEX(0,2*PI()*O99*Constants!$B$61*Constants!$B$62),COMPLEX(1,0)),IMSUM(COMPLEX(0,2*PI()*O99*Constants!$B$61*Constants!$B$62),COMPLEX(2,0)))</f>
        <v>0.500000329146655+0.000405676249484755i</v>
      </c>
      <c r="AD99" s="18">
        <f t="shared" si="129"/>
        <v>0.50000049371973909</v>
      </c>
      <c r="AE99" s="18">
        <f t="shared" si="130"/>
        <v>8.1135178682650432E-4</v>
      </c>
      <c r="AF99" s="66" t="str">
        <f t="shared" si="131"/>
        <v>16.8582723114615-5.41229252723146i</v>
      </c>
      <c r="AG99" s="64">
        <f t="shared" si="132"/>
        <v>24.962295874997128</v>
      </c>
      <c r="AH99" s="61">
        <f t="shared" si="133"/>
        <v>-17.799055419190317</v>
      </c>
      <c r="AI99" s="50" t="str">
        <f t="shared" si="112"/>
        <v>107.538871525172</v>
      </c>
      <c r="AJ99" s="50" t="str">
        <f t="shared" si="113"/>
        <v>1+0.302281690083363i</v>
      </c>
      <c r="AK99" s="50">
        <f t="shared" si="134"/>
        <v>1.044688575681602</v>
      </c>
      <c r="AL99" s="50">
        <f t="shared" si="135"/>
        <v>0.29354877134208518</v>
      </c>
      <c r="AM99" s="50" t="str">
        <f t="shared" si="114"/>
        <v>1+0.000365108864885002i</v>
      </c>
      <c r="AN99" s="50">
        <f t="shared" si="136"/>
        <v>1.0000000666522393</v>
      </c>
      <c r="AO99" s="50">
        <f t="shared" si="137"/>
        <v>3.6510884866145378E-4</v>
      </c>
      <c r="AP99" s="50" t="str">
        <f t="shared" si="115"/>
        <v>1-0.00104975126952011i</v>
      </c>
      <c r="AQ99" s="50">
        <f t="shared" si="138"/>
        <v>1.0000005509887122</v>
      </c>
      <c r="AR99" s="50">
        <f t="shared" si="139"/>
        <v>-1.0497508839195254E-3</v>
      </c>
      <c r="AS99" s="59" t="str">
        <f t="shared" si="140"/>
        <v>98.5149319669655-29.8528858050146i</v>
      </c>
      <c r="AT99" s="50">
        <f t="shared" si="141"/>
        <v>40.251577952376806</v>
      </c>
      <c r="AU99" s="61">
        <f t="shared" si="142"/>
        <v>-16.858332778249871</v>
      </c>
      <c r="AV99" s="32" t="str">
        <f t="shared" si="116"/>
        <v>-0.0000333333333333333</v>
      </c>
      <c r="AW99" s="32" t="str">
        <f t="shared" si="117"/>
        <v>0.0000194724727938668i</v>
      </c>
      <c r="AX99" s="32">
        <f t="shared" si="143"/>
        <v>1.94724727938668E-5</v>
      </c>
      <c r="AY99" s="32">
        <f t="shared" si="144"/>
        <v>1.5707963267948966</v>
      </c>
      <c r="AZ99" s="32" t="str">
        <f t="shared" si="118"/>
        <v>1+0.00794449844888662i</v>
      </c>
      <c r="BA99" s="32">
        <f t="shared" si="145"/>
        <v>1.000031557029879</v>
      </c>
      <c r="BB99" s="32">
        <f t="shared" si="146"/>
        <v>7.9443313160619498E-3</v>
      </c>
      <c r="BC99" s="32" t="str">
        <f t="shared" si="119"/>
        <v>1+0.381335925546558i</v>
      </c>
      <c r="BD99" s="32">
        <f t="shared" si="147"/>
        <v>1.0702416026825203</v>
      </c>
      <c r="BE99" s="32">
        <f t="shared" si="148"/>
        <v>0.3643138507287233</v>
      </c>
      <c r="BF99" s="59" t="str">
        <f t="shared" si="149"/>
        <v>-0.639137901516546+1.71689583036442i</v>
      </c>
      <c r="BG99" s="50">
        <f t="shared" si="150"/>
        <v>5.2585152736445409</v>
      </c>
      <c r="BH99" s="61">
        <f t="shared" si="151"/>
        <v>110.41846940945099</v>
      </c>
      <c r="BI99" s="59" t="str">
        <f t="shared" si="152"/>
        <v>-1.48241831562579+32.4030987269446i</v>
      </c>
      <c r="BJ99" s="64">
        <f t="shared" si="153"/>
        <v>30.220811148641673</v>
      </c>
      <c r="BK99" s="61">
        <f t="shared" si="154"/>
        <v>92.619413990260668</v>
      </c>
      <c r="BL99" s="59" t="str">
        <f t="shared" si="105"/>
        <v>-11.7103317224369+188.219986710348i</v>
      </c>
      <c r="BM99" s="64">
        <f t="shared" si="155"/>
        <v>45.510093226021368</v>
      </c>
      <c r="BN99" s="61">
        <f t="shared" si="106"/>
        <v>93.560136631201118</v>
      </c>
      <c r="BO99" s="50">
        <f t="shared" si="156"/>
        <v>30.220811148641673</v>
      </c>
      <c r="BP99" s="61">
        <f t="shared" si="157"/>
        <v>92.619413990260668</v>
      </c>
    </row>
    <row r="100" spans="14:68" x14ac:dyDescent="0.25">
      <c r="N100" s="11">
        <v>82</v>
      </c>
      <c r="O100" s="51">
        <f t="shared" si="120"/>
        <v>66.069344800759623</v>
      </c>
      <c r="P100" s="49" t="str">
        <f t="shared" si="107"/>
        <v>37.1583961085025</v>
      </c>
      <c r="Q100" s="18" t="str">
        <f t="shared" si="108"/>
        <v>1+0.3253798262175i</v>
      </c>
      <c r="R100" s="18">
        <f t="shared" si="121"/>
        <v>1.0516045032755093</v>
      </c>
      <c r="S100" s="18">
        <f t="shared" si="122"/>
        <v>0.31457540054236582</v>
      </c>
      <c r="T100" s="18" t="str">
        <f t="shared" si="109"/>
        <v>1+0.000373613342856404i</v>
      </c>
      <c r="U100" s="18">
        <f t="shared" si="123"/>
        <v>1.0000000697934626</v>
      </c>
      <c r="V100" s="18">
        <f t="shared" si="124"/>
        <v>3.7361332547255891E-4</v>
      </c>
      <c r="W100" s="32" t="str">
        <f t="shared" si="110"/>
        <v>1-0.00327019780711984i</v>
      </c>
      <c r="X100" s="18">
        <f t="shared" si="125"/>
        <v>1.0000053470825532</v>
      </c>
      <c r="Y100" s="18">
        <f t="shared" si="126"/>
        <v>-3.2701861498183795E-3</v>
      </c>
      <c r="Z100" s="32" t="str">
        <f t="shared" si="111"/>
        <v>0.999999890871042+0.000787355526241827i</v>
      </c>
      <c r="AA100" s="18">
        <f t="shared" si="127"/>
        <v>1.0000002008353901</v>
      </c>
      <c r="AB100" s="18">
        <f t="shared" si="128"/>
        <v>7.8735544946369608E-4</v>
      </c>
      <c r="AC100" s="32" t="str">
        <f>IMDIV(IMSUM(COMPLEX(0,2*PI()*O100*Constants!$B$61*Constants!$B$62),COMPLEX(1,0)),IMSUM(COMPLEX(0,2*PI()*O100*Constants!$B$61*Constants!$B$62),COMPLEX(2,0)))</f>
        <v>0.500000344658849+0.00041512565035346i</v>
      </c>
      <c r="AD100" s="18">
        <f t="shared" si="129"/>
        <v>0.50000051698800618</v>
      </c>
      <c r="AE100" s="18">
        <f t="shared" si="130"/>
        <v>8.3025053763203247E-4</v>
      </c>
      <c r="AF100" s="66" t="str">
        <f t="shared" si="131"/>
        <v>16.7849322411438-5.51449763894918i</v>
      </c>
      <c r="AG100" s="64">
        <f t="shared" si="132"/>
        <v>24.943544829222834</v>
      </c>
      <c r="AH100" s="61">
        <f t="shared" si="133"/>
        <v>-18.187346480088376</v>
      </c>
      <c r="AI100" s="50" t="str">
        <f t="shared" si="112"/>
        <v>107.538871525172</v>
      </c>
      <c r="AJ100" s="50" t="str">
        <f t="shared" si="113"/>
        <v>1+0.309322735157088i</v>
      </c>
      <c r="AK100" s="50">
        <f t="shared" si="134"/>
        <v>1.0467476078239024</v>
      </c>
      <c r="AL100" s="50">
        <f t="shared" si="135"/>
        <v>0.29998766574717606</v>
      </c>
      <c r="AM100" s="50" t="str">
        <f t="shared" si="114"/>
        <v>1+0.000373613342856404i</v>
      </c>
      <c r="AN100" s="50">
        <f t="shared" si="136"/>
        <v>1.0000000697934626</v>
      </c>
      <c r="AO100" s="50">
        <f t="shared" si="137"/>
        <v>3.7361332547255891E-4</v>
      </c>
      <c r="AP100" s="50" t="str">
        <f t="shared" si="115"/>
        <v>1-0.00107420311773776i</v>
      </c>
      <c r="AQ100" s="50">
        <f t="shared" si="138"/>
        <v>1.0000005769560025</v>
      </c>
      <c r="AR100" s="50">
        <f t="shared" si="139"/>
        <v>-1.0742027045593024E-3</v>
      </c>
      <c r="AS100" s="59" t="str">
        <f t="shared" si="140"/>
        <v>98.1267849223398-30.4281861381423i</v>
      </c>
      <c r="AT100" s="50">
        <f t="shared" si="141"/>
        <v>40.234475573182792</v>
      </c>
      <c r="AU100" s="61">
        <f t="shared" si="142"/>
        <v>-17.228167967887817</v>
      </c>
      <c r="AV100" s="32" t="str">
        <f t="shared" si="116"/>
        <v>-0.0000333333333333333</v>
      </c>
      <c r="AW100" s="32" t="str">
        <f t="shared" si="117"/>
        <v>0.0000199260449523415i</v>
      </c>
      <c r="AX100" s="32">
        <f t="shared" si="143"/>
        <v>1.99260449523415E-5</v>
      </c>
      <c r="AY100" s="32">
        <f t="shared" si="144"/>
        <v>1.5707963267948966</v>
      </c>
      <c r="AZ100" s="32" t="str">
        <f t="shared" si="118"/>
        <v>1+0.00812954958993101i</v>
      </c>
      <c r="BA100" s="32">
        <f t="shared" si="145"/>
        <v>1.0000330442423067</v>
      </c>
      <c r="BB100" s="32">
        <f t="shared" si="146"/>
        <v>8.1293705042024371E-3</v>
      </c>
      <c r="BC100" s="32" t="str">
        <f t="shared" si="119"/>
        <v>1+0.390218380316689i</v>
      </c>
      <c r="BD100" s="32">
        <f t="shared" si="147"/>
        <v>1.0734385796760708</v>
      </c>
      <c r="BE100" s="32">
        <f t="shared" si="148"/>
        <v>0.37204560962813976</v>
      </c>
      <c r="BF100" s="59" t="str">
        <f t="shared" si="149"/>
        <v>-0.639136000513119+1.6780483486509i</v>
      </c>
      <c r="BG100" s="50">
        <f t="shared" si="150"/>
        <v>5.0844097749117978</v>
      </c>
      <c r="BH100" s="61">
        <f t="shared" si="151"/>
        <v>110.85086459807522</v>
      </c>
      <c r="BI100" s="59" t="str">
        <f t="shared" si="152"/>
        <v>-1.47426080481039+31.6904417952656i</v>
      </c>
      <c r="BJ100" s="64">
        <f t="shared" si="153"/>
        <v>30.027954604134628</v>
      </c>
      <c r="BK100" s="61">
        <f t="shared" si="154"/>
        <v>92.66351811798684</v>
      </c>
      <c r="BL100" s="59" t="str">
        <f t="shared" si="105"/>
        <v>-11.6563933569234+184.109238588555i</v>
      </c>
      <c r="BM100" s="64">
        <f t="shared" si="155"/>
        <v>45.318885348094575</v>
      </c>
      <c r="BN100" s="61">
        <f t="shared" si="106"/>
        <v>93.622696630187406</v>
      </c>
      <c r="BO100" s="50">
        <f t="shared" si="156"/>
        <v>30.027954604134628</v>
      </c>
      <c r="BP100" s="61">
        <f t="shared" si="157"/>
        <v>92.66351811798684</v>
      </c>
    </row>
    <row r="101" spans="14:68" x14ac:dyDescent="0.25">
      <c r="N101" s="11">
        <v>83</v>
      </c>
      <c r="O101" s="51">
        <f t="shared" si="120"/>
        <v>67.60829753919819</v>
      </c>
      <c r="P101" s="49" t="str">
        <f t="shared" si="107"/>
        <v>37.1583961085025</v>
      </c>
      <c r="Q101" s="18" t="str">
        <f t="shared" si="108"/>
        <v>1+0.332958895997897i</v>
      </c>
      <c r="R101" s="18">
        <f t="shared" si="121"/>
        <v>1.0539742057679298</v>
      </c>
      <c r="S101" s="18">
        <f t="shared" si="122"/>
        <v>0.32141352294836201</v>
      </c>
      <c r="T101" s="18" t="str">
        <f t="shared" si="109"/>
        <v>1+0.000382315915567545i</v>
      </c>
      <c r="U101" s="18">
        <f t="shared" si="123"/>
        <v>1.000000073082727</v>
      </c>
      <c r="V101" s="18">
        <f t="shared" si="124"/>
        <v>3.8231589694041949E-4</v>
      </c>
      <c r="W101" s="32" t="str">
        <f t="shared" si="110"/>
        <v>1-0.00334637049939762i</v>
      </c>
      <c r="X101" s="18">
        <f t="shared" si="125"/>
        <v>1.0000055990820849</v>
      </c>
      <c r="Y101" s="18">
        <f t="shared" si="126"/>
        <v>-3.3463580083778355E-3</v>
      </c>
      <c r="Z101" s="32" t="str">
        <f t="shared" si="111"/>
        <v>0.999999885727953+0.000805695392436787i</v>
      </c>
      <c r="AA101" s="18">
        <f t="shared" si="127"/>
        <v>1.0000002103004699</v>
      </c>
      <c r="AB101" s="18">
        <f t="shared" si="128"/>
        <v>8.0569531016753807E-4</v>
      </c>
      <c r="AC101" s="32" t="str">
        <f>IMDIV(IMSUM(COMPLEX(0,2*PI()*O101*Constants!$B$61*Constants!$B$62),COMPLEX(1,0)),IMSUM(COMPLEX(0,2*PI()*O101*Constants!$B$61*Constants!$B$62),COMPLEX(2,0)))</f>
        <v>0.500000360902108+0.00042479515512256i</v>
      </c>
      <c r="AD101" s="18">
        <f t="shared" si="129"/>
        <v>0.50000054135286898</v>
      </c>
      <c r="AE101" s="18">
        <f t="shared" si="130"/>
        <v>8.4958949259575085E-4</v>
      </c>
      <c r="AF101" s="66" t="str">
        <f t="shared" si="131"/>
        <v>16.7088101196756-5.61760125556902i</v>
      </c>
      <c r="AG101" s="64">
        <f t="shared" si="132"/>
        <v>24.923996484227654</v>
      </c>
      <c r="AH101" s="61">
        <f t="shared" si="133"/>
        <v>-18.582950495258419</v>
      </c>
      <c r="AI101" s="50" t="str">
        <f t="shared" si="112"/>
        <v>107.538871525172</v>
      </c>
      <c r="AJ101" s="50" t="str">
        <f t="shared" si="113"/>
        <v>1+0.316527787239364i</v>
      </c>
      <c r="AK101" s="50">
        <f t="shared" si="134"/>
        <v>1.0488993469797987</v>
      </c>
      <c r="AL101" s="50">
        <f t="shared" si="135"/>
        <v>0.30655009220646806</v>
      </c>
      <c r="AM101" s="50" t="str">
        <f t="shared" si="114"/>
        <v>1+0.000382315915567545i</v>
      </c>
      <c r="AN101" s="50">
        <f t="shared" si="136"/>
        <v>1.000000073082727</v>
      </c>
      <c r="AO101" s="50">
        <f t="shared" si="137"/>
        <v>3.8231589694041949E-4</v>
      </c>
      <c r="AP101" s="50" t="str">
        <f t="shared" si="115"/>
        <v>1-0.00109922452266718i</v>
      </c>
      <c r="AQ101" s="50">
        <f t="shared" si="138"/>
        <v>1.0000006041470932</v>
      </c>
      <c r="AR101" s="50">
        <f t="shared" si="139"/>
        <v>-1.0992240799385005E-3</v>
      </c>
      <c r="AS101" s="59" t="str">
        <f t="shared" si="140"/>
        <v>97.7236017992497-31.0093309811714i</v>
      </c>
      <c r="AT101" s="50">
        <f t="shared" si="141"/>
        <v>40.21663907839244</v>
      </c>
      <c r="AU101" s="61">
        <f t="shared" si="142"/>
        <v>-17.605102305961022</v>
      </c>
      <c r="AV101" s="32" t="str">
        <f t="shared" si="116"/>
        <v>-0.0000333333333333333</v>
      </c>
      <c r="AW101" s="32" t="str">
        <f t="shared" si="117"/>
        <v>0.0000203901821636024i</v>
      </c>
      <c r="AX101" s="32">
        <f t="shared" si="143"/>
        <v>2.0390182163602399E-5</v>
      </c>
      <c r="AY101" s="32">
        <f t="shared" si="144"/>
        <v>1.5707963267948966</v>
      </c>
      <c r="AZ101" s="32" t="str">
        <f t="shared" si="118"/>
        <v>1+0.00831891112577528i</v>
      </c>
      <c r="BA101" s="32">
        <f t="shared" si="145"/>
        <v>1.0000346015425259</v>
      </c>
      <c r="BB101" s="32">
        <f t="shared" si="146"/>
        <v>8.3187192323184167E-3</v>
      </c>
      <c r="BC101" s="32" t="str">
        <f t="shared" si="119"/>
        <v>1+0.399307734037214i</v>
      </c>
      <c r="BD101" s="32">
        <f t="shared" si="147"/>
        <v>1.0767760521398748</v>
      </c>
      <c r="BE101" s="32">
        <f t="shared" si="148"/>
        <v>0.37990945368782048</v>
      </c>
      <c r="BF101" s="59" t="str">
        <f t="shared" si="149"/>
        <v>-0.639134009930279+1.64009058892646i</v>
      </c>
      <c r="BG101" s="50">
        <f t="shared" si="150"/>
        <v>4.9113600136033542</v>
      </c>
      <c r="BH101" s="61">
        <f t="shared" si="151"/>
        <v>111.29058079046673</v>
      </c>
      <c r="BI101" s="59" t="str">
        <f t="shared" si="152"/>
        <v>-1.46579386135168+30.9943622461004i</v>
      </c>
      <c r="BJ101" s="64">
        <f t="shared" si="153"/>
        <v>29.835356497831022</v>
      </c>
      <c r="BK101" s="61">
        <f t="shared" si="154"/>
        <v>92.707630295208318</v>
      </c>
      <c r="BL101" s="59" t="str">
        <f t="shared" si="105"/>
        <v>-11.6003655716594+180.094677682198i</v>
      </c>
      <c r="BM101" s="64">
        <f t="shared" si="155"/>
        <v>45.127999091995818</v>
      </c>
      <c r="BN101" s="61">
        <f t="shared" si="106"/>
        <v>93.685478484505708</v>
      </c>
      <c r="BO101" s="50">
        <f t="shared" si="156"/>
        <v>29.835356497831022</v>
      </c>
      <c r="BP101" s="61">
        <f t="shared" si="157"/>
        <v>92.707630295208318</v>
      </c>
    </row>
    <row r="102" spans="14:68" x14ac:dyDescent="0.25">
      <c r="N102" s="11">
        <v>84</v>
      </c>
      <c r="O102" s="51">
        <f t="shared" si="120"/>
        <v>69.183097091893657</v>
      </c>
      <c r="P102" s="49" t="str">
        <f t="shared" si="107"/>
        <v>37.1583961085025</v>
      </c>
      <c r="Q102" s="18" t="str">
        <f t="shared" si="108"/>
        <v>1+0.340714504992184i</v>
      </c>
      <c r="R102" s="18">
        <f t="shared" si="121"/>
        <v>1.0564498918131748</v>
      </c>
      <c r="S102" s="18">
        <f t="shared" si="122"/>
        <v>0.32837883426234854</v>
      </c>
      <c r="T102" s="18" t="str">
        <f t="shared" si="109"/>
        <v>1+0.000391221197237669i</v>
      </c>
      <c r="U102" s="18">
        <f t="shared" si="123"/>
        <v>1.0000000765270096</v>
      </c>
      <c r="V102" s="18">
        <f t="shared" si="124"/>
        <v>3.9122117727834448E-4</v>
      </c>
      <c r="W102" s="32" t="str">
        <f t="shared" si="110"/>
        <v>1-0.00342431748160863i</v>
      </c>
      <c r="X102" s="18">
        <f t="shared" si="125"/>
        <v>1.0000058629579203</v>
      </c>
      <c r="Y102" s="18">
        <f t="shared" si="126"/>
        <v>-3.4243040972440266E-3</v>
      </c>
      <c r="Z102" s="32" t="str">
        <f t="shared" si="111"/>
        <v>0.999999880342477+0.000824462448993456i</v>
      </c>
      <c r="AA102" s="18">
        <f t="shared" si="127"/>
        <v>1.0000002202116247</v>
      </c>
      <c r="AB102" s="18">
        <f t="shared" si="128"/>
        <v>8.2446236084036874E-4</v>
      </c>
      <c r="AC102" s="32" t="str">
        <f>IMDIV(IMSUM(COMPLEX(0,2*PI()*O102*Constants!$B$61*Constants!$B$62),COMPLEX(1,0)),IMSUM(COMPLEX(0,2*PI()*O102*Constants!$B$61*Constants!$B$62),COMPLEX(2,0)))</f>
        <v>0.500000377910888+0.000434689890604632i</v>
      </c>
      <c r="AD102" s="18">
        <f t="shared" si="129"/>
        <v>0.50000056686601047</v>
      </c>
      <c r="AE102" s="18">
        <f t="shared" si="130"/>
        <v>8.6937890508229532E-4</v>
      </c>
      <c r="AF102" s="66" t="str">
        <f t="shared" si="131"/>
        <v>16.6298299700347-5.72154231910037i</v>
      </c>
      <c r="AG102" s="64">
        <f t="shared" si="132"/>
        <v>24.903620751482073</v>
      </c>
      <c r="AH102" s="61">
        <f t="shared" si="133"/>
        <v>-18.985930606470365</v>
      </c>
      <c r="AI102" s="50" t="str">
        <f t="shared" si="112"/>
        <v>107.538871525172</v>
      </c>
      <c r="AJ102" s="50" t="str">
        <f t="shared" si="113"/>
        <v>1+0.323900666544175i</v>
      </c>
      <c r="AK102" s="50">
        <f t="shared" si="134"/>
        <v>1.051147773525569</v>
      </c>
      <c r="AL102" s="50">
        <f t="shared" si="135"/>
        <v>0.31323726848329247</v>
      </c>
      <c r="AM102" s="50" t="str">
        <f t="shared" si="114"/>
        <v>1+0.000391221197237669i</v>
      </c>
      <c r="AN102" s="50">
        <f t="shared" si="136"/>
        <v>1.0000000765270096</v>
      </c>
      <c r="AO102" s="50">
        <f t="shared" si="137"/>
        <v>3.9122117727834448E-4</v>
      </c>
      <c r="AP102" s="50" t="str">
        <f t="shared" si="115"/>
        <v>1-0.00112482875098849i</v>
      </c>
      <c r="AQ102" s="50">
        <f t="shared" si="138"/>
        <v>1.0000006326196593</v>
      </c>
      <c r="AR102" s="50">
        <f t="shared" si="139"/>
        <v>-1.1248282765961791E-3</v>
      </c>
      <c r="AS102" s="59" t="str">
        <f t="shared" si="140"/>
        <v>97.3049444212156-31.5960276845483i</v>
      </c>
      <c r="AT102" s="50">
        <f t="shared" si="141"/>
        <v>40.198040161241018</v>
      </c>
      <c r="AU102" s="61">
        <f t="shared" si="142"/>
        <v>-17.989206060910622</v>
      </c>
      <c r="AV102" s="32" t="str">
        <f t="shared" si="116"/>
        <v>-0.0000333333333333333</v>
      </c>
      <c r="AW102" s="32" t="str">
        <f t="shared" si="117"/>
        <v>0.0000208651305193423i</v>
      </c>
      <c r="AX102" s="32">
        <f t="shared" si="143"/>
        <v>2.08651305193423E-5</v>
      </c>
      <c r="AY102" s="32">
        <f t="shared" si="144"/>
        <v>1.5707963267948966</v>
      </c>
      <c r="AZ102" s="32" t="str">
        <f t="shared" si="118"/>
        <v>1+0.00851268345841224i</v>
      </c>
      <c r="BA102" s="32">
        <f t="shared" si="145"/>
        <v>1.0000362322334442</v>
      </c>
      <c r="BB102" s="32">
        <f t="shared" si="146"/>
        <v>8.5124778412710104E-3</v>
      </c>
      <c r="BC102" s="32" t="str">
        <f t="shared" si="119"/>
        <v>1+0.408608806003788i</v>
      </c>
      <c r="BD102" s="32">
        <f t="shared" si="147"/>
        <v>1.0802597633642759</v>
      </c>
      <c r="BE102" s="32">
        <f t="shared" si="148"/>
        <v>0.38790566098688589</v>
      </c>
      <c r="BF102" s="59" t="str">
        <f t="shared" si="149"/>
        <v>-0.639131925547449+1.60300242538028i</v>
      </c>
      <c r="BG102" s="50">
        <f t="shared" si="150"/>
        <v>4.7394020903548038</v>
      </c>
      <c r="BH102" s="61">
        <f t="shared" si="151"/>
        <v>111.73762817027763</v>
      </c>
      <c r="BI102" s="59" t="str">
        <f t="shared" si="152"/>
        <v>-1.45700903584115+30.3144781351351i</v>
      </c>
      <c r="BJ102" s="64">
        <f t="shared" si="153"/>
        <v>29.643022841836867</v>
      </c>
      <c r="BK102" s="61">
        <f t="shared" si="154"/>
        <v>92.751697563807269</v>
      </c>
      <c r="BL102" s="59" t="str">
        <f t="shared" si="105"/>
        <v>-11.5421874825056+176.174091922378i</v>
      </c>
      <c r="BM102" s="64">
        <f t="shared" si="155"/>
        <v>44.937442251595826</v>
      </c>
      <c r="BN102" s="61">
        <f t="shared" si="106"/>
        <v>93.748422109366985</v>
      </c>
      <c r="BO102" s="50">
        <f t="shared" si="156"/>
        <v>29.643022841836867</v>
      </c>
      <c r="BP102" s="61">
        <f t="shared" si="157"/>
        <v>92.751697563807269</v>
      </c>
    </row>
    <row r="103" spans="14:68" x14ac:dyDescent="0.25">
      <c r="N103" s="11">
        <v>85</v>
      </c>
      <c r="O103" s="51">
        <f t="shared" si="120"/>
        <v>70.794578438413865</v>
      </c>
      <c r="P103" s="49" t="str">
        <f t="shared" si="107"/>
        <v>37.1583961085025</v>
      </c>
      <c r="Q103" s="18" t="str">
        <f t="shared" si="108"/>
        <v>1+0.348650765326909i</v>
      </c>
      <c r="R103" s="18">
        <f t="shared" si="121"/>
        <v>1.059036050454865</v>
      </c>
      <c r="S103" s="18">
        <f t="shared" si="122"/>
        <v>0.33547232327976428</v>
      </c>
      <c r="T103" s="18" t="str">
        <f t="shared" si="109"/>
        <v>1+0.000400333909564994i</v>
      </c>
      <c r="U103" s="18">
        <f t="shared" si="123"/>
        <v>1.0000000801336164</v>
      </c>
      <c r="V103" s="18">
        <f t="shared" si="124"/>
        <v>4.0033388817819262E-4</v>
      </c>
      <c r="W103" s="32" t="str">
        <f t="shared" si="110"/>
        <v>1-0.0035040800822746i</v>
      </c>
      <c r="X103" s="18">
        <f t="shared" si="125"/>
        <v>1.0000061392697661</v>
      </c>
      <c r="Y103" s="18">
        <f t="shared" si="126"/>
        <v>-3.5040657406742947E-3</v>
      </c>
      <c r="Z103" s="32" t="str">
        <f t="shared" si="111"/>
        <v>0.999999874703192+0.000843666646453634i</v>
      </c>
      <c r="AA103" s="18">
        <f t="shared" si="127"/>
        <v>1.0000002305898783</v>
      </c>
      <c r="AB103" s="18">
        <f t="shared" si="128"/>
        <v>8.4366655199589991E-4</v>
      </c>
      <c r="AC103" s="32" t="str">
        <f>IMDIV(IMSUM(COMPLEX(0,2*PI()*O103*Constants!$B$61*Constants!$B$62),COMPLEX(1,0)),IMSUM(COMPLEX(0,2*PI()*O103*Constants!$B$61*Constants!$B$62),COMPLEX(2,0)))</f>
        <v>0.500000395721265+0.000444815103026346i</v>
      </c>
      <c r="AD103" s="18">
        <f t="shared" si="129"/>
        <v>0.50000059358154503</v>
      </c>
      <c r="AE103" s="18">
        <f t="shared" si="130"/>
        <v>8.896292672658624E-4</v>
      </c>
      <c r="AF103" s="66" t="str">
        <f t="shared" si="131"/>
        <v>16.5479162915146-5.82625489715047i</v>
      </c>
      <c r="AG103" s="64">
        <f t="shared" si="132"/>
        <v>24.882386734250627</v>
      </c>
      <c r="AH103" s="61">
        <f t="shared" si="133"/>
        <v>-19.396345533667276</v>
      </c>
      <c r="AI103" s="50" t="str">
        <f t="shared" si="112"/>
        <v>107.538871525172</v>
      </c>
      <c r="AJ103" s="50" t="str">
        <f t="shared" si="113"/>
        <v>1+0.33144528226972i</v>
      </c>
      <c r="AK103" s="50">
        <f t="shared" si="134"/>
        <v>1.0534970218936808</v>
      </c>
      <c r="AL103" s="50">
        <f t="shared" si="135"/>
        <v>0.32005034705324514</v>
      </c>
      <c r="AM103" s="50" t="str">
        <f t="shared" si="114"/>
        <v>1+0.000400333909564994i</v>
      </c>
      <c r="AN103" s="50">
        <f t="shared" si="136"/>
        <v>1.0000000801336164</v>
      </c>
      <c r="AO103" s="50">
        <f t="shared" si="137"/>
        <v>4.0033388817819262E-4</v>
      </c>
      <c r="AP103" s="50" t="str">
        <f t="shared" si="115"/>
        <v>1-0.00115102937840243i</v>
      </c>
      <c r="AQ103" s="50">
        <f t="shared" si="138"/>
        <v>1.0000006624340956</v>
      </c>
      <c r="AR103" s="50">
        <f t="shared" si="139"/>
        <v>-1.1510288700819289E-3</v>
      </c>
      <c r="AS103" s="59" t="str">
        <f t="shared" si="140"/>
        <v>96.8703744084647-32.1879575329649i</v>
      </c>
      <c r="AT103" s="50">
        <f t="shared" si="141"/>
        <v>40.178649701533224</v>
      </c>
      <c r="AU103" s="61">
        <f t="shared" si="142"/>
        <v>-18.380545772012958</v>
      </c>
      <c r="AV103" s="32" t="str">
        <f t="shared" si="116"/>
        <v>-0.0000333333333333333</v>
      </c>
      <c r="AW103" s="32" t="str">
        <f t="shared" si="117"/>
        <v>0.0000213511418434663i</v>
      </c>
      <c r="AX103" s="32">
        <f t="shared" si="143"/>
        <v>2.13511418434663E-5</v>
      </c>
      <c r="AY103" s="32">
        <f t="shared" si="144"/>
        <v>1.5707963267948966</v>
      </c>
      <c r="AZ103" s="32" t="str">
        <f t="shared" si="118"/>
        <v>1+0.00871096932849755i</v>
      </c>
      <c r="BA103" s="32">
        <f t="shared" si="145"/>
        <v>1.0000379397736079</v>
      </c>
      <c r="BB103" s="32">
        <f t="shared" si="146"/>
        <v>8.7107490062126747E-3</v>
      </c>
      <c r="BC103" s="32" t="str">
        <f t="shared" si="119"/>
        <v>1+0.418126527767883i</v>
      </c>
      <c r="BD103" s="32">
        <f t="shared" si="147"/>
        <v>1.0838956560588413</v>
      </c>
      <c r="BE103" s="32">
        <f t="shared" si="148"/>
        <v>0.39603438000166596</v>
      </c>
      <c r="BF103" s="59" t="str">
        <f t="shared" si="149"/>
        <v>-0.639129742945256+1.5667641932655i</v>
      </c>
      <c r="BG103" s="50">
        <f t="shared" si="150"/>
        <v>4.5685727717804987</v>
      </c>
      <c r="BH103" s="61">
        <f t="shared" si="151"/>
        <v>112.192009361722</v>
      </c>
      <c r="BI103" s="59" t="str">
        <f t="shared" si="152"/>
        <v>-1.44789793198222+29.6504155134492i</v>
      </c>
      <c r="BJ103" s="64">
        <f t="shared" si="153"/>
        <v>29.450959506031118</v>
      </c>
      <c r="BK103" s="61">
        <f t="shared" si="154"/>
        <v>92.795663828054728</v>
      </c>
      <c r="BL103" s="59" t="str">
        <f t="shared" si="105"/>
        <v>-11.4817981776928+172.345315035382i</v>
      </c>
      <c r="BM103" s="64">
        <f t="shared" si="155"/>
        <v>44.747222473313727</v>
      </c>
      <c r="BN103" s="61">
        <f t="shared" si="106"/>
        <v>93.811463589709035</v>
      </c>
      <c r="BO103" s="50">
        <f t="shared" si="156"/>
        <v>29.450959506031118</v>
      </c>
      <c r="BP103" s="61">
        <f t="shared" si="157"/>
        <v>92.795663828054728</v>
      </c>
    </row>
    <row r="104" spans="14:68" x14ac:dyDescent="0.25">
      <c r="N104" s="11">
        <v>86</v>
      </c>
      <c r="O104" s="51">
        <f t="shared" si="120"/>
        <v>72.443596007499011</v>
      </c>
      <c r="P104" s="49" t="str">
        <f t="shared" si="107"/>
        <v>37.1583961085025</v>
      </c>
      <c r="Q104" s="18" t="str">
        <f t="shared" si="108"/>
        <v>1+0.356771884912346i</v>
      </c>
      <c r="R104" s="18">
        <f t="shared" si="121"/>
        <v>1.0617373393942158</v>
      </c>
      <c r="S104" s="18">
        <f t="shared" si="122"/>
        <v>0.34269489472281567</v>
      </c>
      <c r="T104" s="18" t="str">
        <f t="shared" si="109"/>
        <v>1+0.000409658884230214i</v>
      </c>
      <c r="U104" s="18">
        <f t="shared" si="123"/>
        <v>1.0000000839101972</v>
      </c>
      <c r="V104" s="18">
        <f t="shared" si="124"/>
        <v>4.0965886131384346E-4</v>
      </c>
      <c r="W104" s="32" t="str">
        <f t="shared" si="110"/>
        <v>1-0.00358570059258216i</v>
      </c>
      <c r="X104" s="18">
        <f t="shared" si="125"/>
        <v>1.0000064286037063</v>
      </c>
      <c r="Y104" s="18">
        <f t="shared" si="126"/>
        <v>-3.5856852252859001E-3</v>
      </c>
      <c r="Z104" s="32" t="str">
        <f t="shared" si="111"/>
        <v>0.999999868798135+0.000863318167137005i</v>
      </c>
      <c r="AA104" s="18">
        <f t="shared" si="127"/>
        <v>1.0000002414572431</v>
      </c>
      <c r="AB104" s="18">
        <f t="shared" si="128"/>
        <v>8.6331806592372098E-4</v>
      </c>
      <c r="AC104" s="32" t="str">
        <f>IMDIV(IMSUM(COMPLEX(0,2*PI()*O104*Constants!$B$61*Constants!$B$62),COMPLEX(1,0)),IMSUM(COMPLEX(0,2*PI()*O104*Constants!$B$61*Constants!$B$62),COMPLEX(2,0)))</f>
        <v>0.500000414371018+0.000455176160809641i</v>
      </c>
      <c r="AD104" s="18">
        <f t="shared" si="129"/>
        <v>0.50000062155614078</v>
      </c>
      <c r="AE104" s="18">
        <f t="shared" si="130"/>
        <v>9.103513156912172E-4</v>
      </c>
      <c r="AF104" s="66" t="str">
        <f t="shared" si="131"/>
        <v>16.4629943227608-5.93166804058023i</v>
      </c>
      <c r="AG104" s="64">
        <f t="shared" si="132"/>
        <v>24.860262734073405</v>
      </c>
      <c r="AH104" s="61">
        <f t="shared" si="133"/>
        <v>-19.814249227866863</v>
      </c>
      <c r="AI104" s="50" t="str">
        <f t="shared" si="112"/>
        <v>107.538871525172</v>
      </c>
      <c r="AJ104" s="50" t="str">
        <f t="shared" si="113"/>
        <v>1+0.33916563467112i</v>
      </c>
      <c r="AK104" s="50">
        <f t="shared" si="134"/>
        <v>1.0559513851223756</v>
      </c>
      <c r="AL104" s="50">
        <f t="shared" si="135"/>
        <v>0.32699040943685287</v>
      </c>
      <c r="AM104" s="50" t="str">
        <f t="shared" si="114"/>
        <v>1+0.000409658884230214i</v>
      </c>
      <c r="AN104" s="50">
        <f t="shared" si="136"/>
        <v>1.0000000839101972</v>
      </c>
      <c r="AO104" s="50">
        <f t="shared" si="137"/>
        <v>4.0965886131384346E-4</v>
      </c>
      <c r="AP104" s="50" t="str">
        <f t="shared" si="115"/>
        <v>1-0.00117784029682848i</v>
      </c>
      <c r="AQ104" s="50">
        <f t="shared" si="138"/>
        <v>1.0000006936536419</v>
      </c>
      <c r="AR104" s="50">
        <f t="shared" si="139"/>
        <v>-1.1778397521532702E-3</v>
      </c>
      <c r="AS104" s="59" t="str">
        <f t="shared" si="140"/>
        <v>96.4194544525438-32.7847748262776i</v>
      </c>
      <c r="AT104" s="50">
        <f t="shared" si="141"/>
        <v>40.15843776643375</v>
      </c>
      <c r="AU104" s="61">
        <f t="shared" si="142"/>
        <v>-18.779183924934138</v>
      </c>
      <c r="AV104" s="32" t="str">
        <f t="shared" si="116"/>
        <v>-0.0000333333333333333</v>
      </c>
      <c r="AW104" s="32" t="str">
        <f t="shared" si="117"/>
        <v>0.0000218484738256114i</v>
      </c>
      <c r="AX104" s="32">
        <f t="shared" si="143"/>
        <v>2.1848473825611401E-5</v>
      </c>
      <c r="AY104" s="32">
        <f t="shared" si="144"/>
        <v>1.5707963267948966</v>
      </c>
      <c r="AZ104" s="32" t="str">
        <f t="shared" si="118"/>
        <v>1+0.00891387386982411i</v>
      </c>
      <c r="BA104" s="32">
        <f t="shared" si="145"/>
        <v>1.0000397277845352</v>
      </c>
      <c r="BB104" s="32">
        <f t="shared" si="146"/>
        <v>8.9136377907490134E-3</v>
      </c>
      <c r="BC104" s="32" t="str">
        <f t="shared" si="119"/>
        <v>1+0.427865945751558i</v>
      </c>
      <c r="BD104" s="32">
        <f t="shared" si="147"/>
        <v>1.0876898765428844</v>
      </c>
      <c r="BE104" s="32">
        <f t="shared" si="148"/>
        <v>0.40429562272776626</v>
      </c>
      <c r="BF104" s="59" t="str">
        <f t="shared" si="149"/>
        <v>-0.639127457496166+1.53135667847217i</v>
      </c>
      <c r="BG104" s="50">
        <f t="shared" si="150"/>
        <v>4.398909455476133</v>
      </c>
      <c r="BH104" s="61">
        <f t="shared" si="151"/>
        <v>112.65371903239615</v>
      </c>
      <c r="BI104" s="59" t="str">
        <f t="shared" si="152"/>
        <v>-1.43845223585746+29.0018082172965i</v>
      </c>
      <c r="BJ104" s="64">
        <f t="shared" si="153"/>
        <v>29.259172189549542</v>
      </c>
      <c r="BK104" s="61">
        <f t="shared" si="154"/>
        <v>92.839469804529301</v>
      </c>
      <c r="BL104" s="59" t="str">
        <f t="shared" si="105"/>
        <v>-11.4191368949952+168.606225289849i</v>
      </c>
      <c r="BM104" s="64">
        <f t="shared" si="155"/>
        <v>44.557347221909865</v>
      </c>
      <c r="BN104" s="61">
        <f t="shared" si="106"/>
        <v>93.874535107462023</v>
      </c>
      <c r="BO104" s="50">
        <f t="shared" si="156"/>
        <v>29.259172189549542</v>
      </c>
      <c r="BP104" s="61">
        <f t="shared" si="157"/>
        <v>92.839469804529301</v>
      </c>
    </row>
    <row r="105" spans="14:68" x14ac:dyDescent="0.25">
      <c r="N105" s="11">
        <v>87</v>
      </c>
      <c r="O105" s="51">
        <f t="shared" si="120"/>
        <v>74.131024130091816</v>
      </c>
      <c r="P105" s="49" t="str">
        <f t="shared" si="107"/>
        <v>37.1583961085025</v>
      </c>
      <c r="Q105" s="18" t="str">
        <f t="shared" si="108"/>
        <v>1+0.3650821696736i</v>
      </c>
      <c r="R105" s="18">
        <f t="shared" si="121"/>
        <v>1.0645585895635727</v>
      </c>
      <c r="S105" s="18">
        <f t="shared" si="122"/>
        <v>0.35004736299491501</v>
      </c>
      <c r="T105" s="18" t="str">
        <f t="shared" si="109"/>
        <v>1+0.000419201065458332i</v>
      </c>
      <c r="U105" s="18">
        <f t="shared" si="123"/>
        <v>1.0000000878647628</v>
      </c>
      <c r="V105" s="18">
        <f t="shared" si="124"/>
        <v>4.1920104090299872E-4</v>
      </c>
      <c r="W105" s="32" t="str">
        <f t="shared" si="110"/>
        <v>1-0.00366922228880627i</v>
      </c>
      <c r="X105" s="18">
        <f t="shared" si="125"/>
        <v>1.0000067315734453</v>
      </c>
      <c r="Y105" s="18">
        <f t="shared" si="126"/>
        <v>-3.669205822457645E-3</v>
      </c>
      <c r="Z105" s="32" t="str">
        <f t="shared" si="111"/>
        <v>0.999999862614782+0.000883427430539964i</v>
      </c>
      <c r="AA105" s="18">
        <f t="shared" si="127"/>
        <v>1.000000252836772</v>
      </c>
      <c r="AB105" s="18">
        <f t="shared" si="128"/>
        <v>8.8342732208797716E-4</v>
      </c>
      <c r="AC105" s="32" t="str">
        <f>IMDIV(IMSUM(COMPLEX(0,2*PI()*O105*Constants!$B$61*Constants!$B$62),COMPLEX(1,0)),IMSUM(COMPLEX(0,2*PI()*O105*Constants!$B$61*Constants!$B$62),COMPLEX(2,0)))</f>
        <v>0.500000433899706+0.000465778557417659i</v>
      </c>
      <c r="AD105" s="18">
        <f t="shared" si="129"/>
        <v>0.50000065084913536</v>
      </c>
      <c r="AE105" s="18">
        <f t="shared" si="130"/>
        <v>9.3155603696414002E-4</v>
      </c>
      <c r="AF105" s="66" t="str">
        <f t="shared" si="131"/>
        <v>16.3749903241016-6.03770565192085i</v>
      </c>
      <c r="AG105" s="64">
        <f t="shared" si="132"/>
        <v>24.837216260157824</v>
      </c>
      <c r="AH105" s="61">
        <f t="shared" si="133"/>
        <v>-20.239690514437218</v>
      </c>
      <c r="AI105" s="50" t="str">
        <f t="shared" si="112"/>
        <v>107.538871525172</v>
      </c>
      <c r="AJ105" s="50" t="str">
        <f t="shared" si="113"/>
        <v>1+0.347065817181412i</v>
      </c>
      <c r="AK105" s="50">
        <f t="shared" si="134"/>
        <v>1.0585153194242403</v>
      </c>
      <c r="AL105" s="50">
        <f t="shared" si="135"/>
        <v>0.33405846034000358</v>
      </c>
      <c r="AM105" s="50" t="str">
        <f t="shared" si="114"/>
        <v>1+0.000419201065458332i</v>
      </c>
      <c r="AN105" s="50">
        <f t="shared" si="136"/>
        <v>1.0000000878647628</v>
      </c>
      <c r="AO105" s="50">
        <f t="shared" si="137"/>
        <v>4.1920104090299872E-4</v>
      </c>
      <c r="AP105" s="50" t="str">
        <f t="shared" si="115"/>
        <v>1-0.00120527572177047i</v>
      </c>
      <c r="AQ105" s="50">
        <f t="shared" si="138"/>
        <v>1.000000726344519</v>
      </c>
      <c r="AR105" s="50">
        <f t="shared" si="139"/>
        <v>-1.2052751381404906E-3</v>
      </c>
      <c r="AS105" s="59" t="str">
        <f t="shared" si="140"/>
        <v>95.9517496979661-33.3861060003852i</v>
      </c>
      <c r="AT105" s="50">
        <f t="shared" si="141"/>
        <v>40.137373613721593</v>
      </c>
      <c r="AU105" s="61">
        <f t="shared" si="142"/>
        <v>-19.18517861627684</v>
      </c>
      <c r="AV105" s="32" t="str">
        <f t="shared" si="116"/>
        <v>-0.0000333333333333333</v>
      </c>
      <c r="AW105" s="32" t="str">
        <f t="shared" si="117"/>
        <v>0.0000223573901577777i</v>
      </c>
      <c r="AX105" s="32">
        <f t="shared" si="143"/>
        <v>2.2357390157777701E-5</v>
      </c>
      <c r="AY105" s="32">
        <f t="shared" si="144"/>
        <v>1.5707963267948966</v>
      </c>
      <c r="AZ105" s="32" t="str">
        <f t="shared" si="118"/>
        <v>1+0.00912150466506555i</v>
      </c>
      <c r="BA105" s="32">
        <f t="shared" si="145"/>
        <v>1.0000416000583949</v>
      </c>
      <c r="BB105" s="32">
        <f t="shared" si="146"/>
        <v>9.1212517023473473E-3</v>
      </c>
      <c r="BC105" s="32" t="str">
        <f t="shared" si="119"/>
        <v>1+0.437832223923147i</v>
      </c>
      <c r="BD105" s="32">
        <f t="shared" si="147"/>
        <v>1.0916487788228817</v>
      </c>
      <c r="BE105" s="32">
        <f t="shared" si="148"/>
        <v>0.41268925781911464</v>
      </c>
      <c r="BF105" s="59" t="str">
        <f t="shared" si="149"/>
        <v>-0.639125064354696+1.49676110733908i</v>
      </c>
      <c r="BG105" s="50">
        <f t="shared" si="150"/>
        <v>4.2304501305819349</v>
      </c>
      <c r="BH105" s="61">
        <f t="shared" si="151"/>
        <v>113.12274349700056</v>
      </c>
      <c r="BI105" s="59" t="str">
        <f t="shared" si="152"/>
        <v>-1.42866374734249+28.3682976635077i</v>
      </c>
      <c r="BJ105" s="64">
        <f t="shared" si="153"/>
        <v>29.067666390739774</v>
      </c>
      <c r="BK105" s="61">
        <f t="shared" si="154"/>
        <v>92.883052982563342</v>
      </c>
      <c r="BL105" s="59" t="str">
        <f t="shared" si="105"/>
        <v>-11.3541432137818+164.954744275099i</v>
      </c>
      <c r="BM105" s="64">
        <f t="shared" si="155"/>
        <v>44.367823744303543</v>
      </c>
      <c r="BN105" s="61">
        <f t="shared" si="106"/>
        <v>93.937564880723713</v>
      </c>
      <c r="BO105" s="50">
        <f t="shared" si="156"/>
        <v>29.067666390739774</v>
      </c>
      <c r="BP105" s="61">
        <f t="shared" si="157"/>
        <v>92.883052982563342</v>
      </c>
    </row>
    <row r="106" spans="14:68" x14ac:dyDescent="0.25">
      <c r="N106" s="11">
        <v>88</v>
      </c>
      <c r="O106" s="51">
        <f t="shared" si="120"/>
        <v>75.857757502918361</v>
      </c>
      <c r="P106" s="49" t="str">
        <f t="shared" si="107"/>
        <v>37.1583961085025</v>
      </c>
      <c r="Q106" s="18" t="str">
        <f t="shared" si="108"/>
        <v>1+0.373586025833649i</v>
      </c>
      <c r="R106" s="18">
        <f t="shared" si="121"/>
        <v>1.0675048096838626</v>
      </c>
      <c r="S106" s="18">
        <f t="shared" si="122"/>
        <v>0.35753044578101573</v>
      </c>
      <c r="T106" s="18" t="str">
        <f t="shared" si="109"/>
        <v>1+0.000428965512640137i</v>
      </c>
      <c r="U106" s="18">
        <f t="shared" si="123"/>
        <v>1.0000000920057013</v>
      </c>
      <c r="V106" s="18">
        <f t="shared" si="124"/>
        <v>4.2896548632862349E-4</v>
      </c>
      <c r="W106" s="32" t="str">
        <f t="shared" si="110"/>
        <v>1-0.00375468945525581i</v>
      </c>
      <c r="X106" s="18">
        <f t="shared" si="125"/>
        <v>1.0000070488216097</v>
      </c>
      <c r="Y106" s="18">
        <f t="shared" si="126"/>
        <v>-3.7546718112520883E-3</v>
      </c>
      <c r="Z106" s="32" t="str">
        <f t="shared" si="111"/>
        <v>0.999999856140016+0.000904005098860138i</v>
      </c>
      <c r="AA106" s="18">
        <f t="shared" si="127"/>
        <v>1.0000002647526007</v>
      </c>
      <c r="AB106" s="18">
        <f t="shared" si="128"/>
        <v>9.0400498265174201E-4</v>
      </c>
      <c r="AC106" s="32" t="str">
        <f>IMDIV(IMSUM(COMPLEX(0,2*PI()*O106*Constants!$B$61*Constants!$B$62),COMPLEX(1,0)),IMSUM(COMPLEX(0,2*PI()*O106*Constants!$B$61*Constants!$B$62),COMPLEX(2,0)))</f>
        <v>0.50000045434875+0.00047662791426694i</v>
      </c>
      <c r="AD106" s="18">
        <f t="shared" si="129"/>
        <v>0.50000068152266053</v>
      </c>
      <c r="AE106" s="18">
        <f t="shared" si="130"/>
        <v>9.5325467357428972E-4</v>
      </c>
      <c r="AF106" s="66" t="str">
        <f t="shared" si="131"/>
        <v>16.2838318792729-6.14428636647212i</v>
      </c>
      <c r="AG106" s="64">
        <f t="shared" si="132"/>
        <v>24.813214041887143</v>
      </c>
      <c r="AH106" s="61">
        <f t="shared" si="133"/>
        <v>-20.672712727569007</v>
      </c>
      <c r="AI106" s="50" t="str">
        <f t="shared" si="112"/>
        <v>107.538871525172</v>
      </c>
      <c r="AJ106" s="50" t="str">
        <f t="shared" si="113"/>
        <v>1+0.355150018581932i</v>
      </c>
      <c r="AK106" s="50">
        <f t="shared" si="134"/>
        <v>1.0611934487635828</v>
      </c>
      <c r="AL106" s="50">
        <f t="shared" si="135"/>
        <v>0.34125542161166561</v>
      </c>
      <c r="AM106" s="50" t="str">
        <f t="shared" si="114"/>
        <v>1+0.000428965512640137i</v>
      </c>
      <c r="AN106" s="50">
        <f t="shared" si="136"/>
        <v>1.0000000920057013</v>
      </c>
      <c r="AO106" s="50">
        <f t="shared" si="137"/>
        <v>4.2896548632862349E-4</v>
      </c>
      <c r="AP106" s="50" t="str">
        <f t="shared" si="115"/>
        <v>1-0.00123335019985385i</v>
      </c>
      <c r="AQ106" s="50">
        <f t="shared" si="138"/>
        <v>1.0000007605760686</v>
      </c>
      <c r="AR106" s="50">
        <f t="shared" si="139"/>
        <v>-1.2333495744830856E-3</v>
      </c>
      <c r="AS106" s="59" t="str">
        <f t="shared" si="140"/>
        <v>95.466829233088-33.9915487976244i</v>
      </c>
      <c r="AT106" s="50">
        <f t="shared" si="141"/>
        <v>40.115425697709469</v>
      </c>
      <c r="AU106" s="61">
        <f t="shared" si="142"/>
        <v>-19.598583207664657</v>
      </c>
      <c r="AV106" s="32" t="str">
        <f t="shared" si="116"/>
        <v>-0.0000333333333333333</v>
      </c>
      <c r="AW106" s="32" t="str">
        <f t="shared" si="117"/>
        <v>0.0000228781606741406i</v>
      </c>
      <c r="AX106" s="32">
        <f t="shared" si="143"/>
        <v>2.2878160674140602E-5</v>
      </c>
      <c r="AY106" s="32">
        <f t="shared" si="144"/>
        <v>1.5707963267948966</v>
      </c>
      <c r="AZ106" s="32" t="str">
        <f t="shared" si="118"/>
        <v>1+0.00933397180281778i</v>
      </c>
      <c r="BA106" s="32">
        <f t="shared" si="145"/>
        <v>1.0000435605660465</v>
      </c>
      <c r="BB106" s="32">
        <f t="shared" si="146"/>
        <v>9.333700749019385E-3</v>
      </c>
      <c r="BC106" s="32" t="str">
        <f t="shared" si="119"/>
        <v>1+0.448030646535254i</v>
      </c>
      <c r="BD106" s="32">
        <f t="shared" si="147"/>
        <v>1.0957789285411532</v>
      </c>
      <c r="BE106" s="32">
        <f t="shared" si="148"/>
        <v>0.4212150037800837</v>
      </c>
      <c r="BF106" s="59" t="str">
        <f t="shared" si="149"/>
        <v>-0.639122558447153+1.46295913669918i</v>
      </c>
      <c r="BG106" s="50">
        <f t="shared" si="150"/>
        <v>4.0632333337585225</v>
      </c>
      <c r="BH106" s="61">
        <f t="shared" si="151"/>
        <v>113.59906032402883</v>
      </c>
      <c r="BI106" s="59" t="str">
        <f t="shared" si="152"/>
        <v>-1.41852441367761+27.7495326506273i</v>
      </c>
      <c r="BJ106" s="64">
        <f t="shared" si="153"/>
        <v>28.876447375645672</v>
      </c>
      <c r="BK106" s="61">
        <f t="shared" si="154"/>
        <v>92.926347596459806</v>
      </c>
      <c r="BL106" s="59" t="str">
        <f t="shared" si="105"/>
        <v>-11.286757262248+161.388835711365i</v>
      </c>
      <c r="BM106" s="64">
        <f t="shared" si="155"/>
        <v>44.178659031467973</v>
      </c>
      <c r="BN106" s="61">
        <f t="shared" si="106"/>
        <v>94.000477116364166</v>
      </c>
      <c r="BO106" s="50">
        <f t="shared" si="156"/>
        <v>28.876447375645672</v>
      </c>
      <c r="BP106" s="61">
        <f t="shared" si="157"/>
        <v>92.926347596459806</v>
      </c>
    </row>
    <row r="107" spans="14:68" x14ac:dyDescent="0.25">
      <c r="N107" s="11">
        <v>89</v>
      </c>
      <c r="O107" s="51">
        <f t="shared" si="120"/>
        <v>77.624711662869217</v>
      </c>
      <c r="P107" s="49" t="str">
        <f t="shared" si="107"/>
        <v>37.1583961085025</v>
      </c>
      <c r="Q107" s="18" t="str">
        <f t="shared" si="108"/>
        <v>1+0.382287962249589i</v>
      </c>
      <c r="R107" s="18">
        <f t="shared" si="121"/>
        <v>1.0705811907935536</v>
      </c>
      <c r="S107" s="18">
        <f t="shared" si="122"/>
        <v>0.36514475751071213</v>
      </c>
      <c r="T107" s="18" t="str">
        <f t="shared" si="109"/>
        <v>1+0.000438957403014773i</v>
      </c>
      <c r="U107" s="18">
        <f t="shared" si="123"/>
        <v>1.0000000963417963</v>
      </c>
      <c r="V107" s="18">
        <f t="shared" si="124"/>
        <v>4.3895737482147845E-4</v>
      </c>
      <c r="W107" s="32" t="str">
        <f t="shared" si="110"/>
        <v>1-0.00384214740775371i</v>
      </c>
      <c r="X107" s="18">
        <f t="shared" si="125"/>
        <v>1.0000073810211116</v>
      </c>
      <c r="Y107" s="18">
        <f t="shared" si="126"/>
        <v>-3.8421285018706373E-3</v>
      </c>
      <c r="Z107" s="32" t="str">
        <f t="shared" si="111"/>
        <v>0.999999849360103+0.00092506208264965i</v>
      </c>
      <c r="AA107" s="18">
        <f t="shared" si="127"/>
        <v>1.0000002772300043</v>
      </c>
      <c r="AB107" s="18">
        <f t="shared" si="128"/>
        <v>9.250619581301126E-4</v>
      </c>
      <c r="AC107" s="32" t="str">
        <f>IMDIV(IMSUM(COMPLEX(0,2*PI()*O107*Constants!$B$61*Constants!$B$62),COMPLEX(1,0)),IMSUM(COMPLEX(0,2*PI()*O107*Constants!$B$61*Constants!$B$62),COMPLEX(2,0)))</f>
        <v>0.500000475761527+0.000487729983707428i</v>
      </c>
      <c r="AD107" s="18">
        <f t="shared" si="129"/>
        <v>0.500000713641781</v>
      </c>
      <c r="AE107" s="18">
        <f t="shared" si="130"/>
        <v>9.754587298535641E-4</v>
      </c>
      <c r="AF107" s="66" t="str">
        <f t="shared" si="131"/>
        <v>16.1894482164784-6.25132344811422i</v>
      </c>
      <c r="AG107" s="64">
        <f t="shared" si="132"/>
        <v>24.78822204465288</v>
      </c>
      <c r="AH107" s="61">
        <f t="shared" si="133"/>
        <v>-21.113353336911544</v>
      </c>
      <c r="AI107" s="50" t="str">
        <f t="shared" si="112"/>
        <v>107.538871525172</v>
      </c>
      <c r="AJ107" s="50" t="str">
        <f t="shared" si="113"/>
        <v>1+0.363422525223271i</v>
      </c>
      <c r="AK107" s="50">
        <f t="shared" si="134"/>
        <v>1.0639905694317311</v>
      </c>
      <c r="AL107" s="50">
        <f t="shared" si="135"/>
        <v>0.34858212603058819</v>
      </c>
      <c r="AM107" s="50" t="str">
        <f t="shared" si="114"/>
        <v>1+0.000438957403014773i</v>
      </c>
      <c r="AN107" s="50">
        <f t="shared" si="136"/>
        <v>1.0000000963417963</v>
      </c>
      <c r="AO107" s="50">
        <f t="shared" si="137"/>
        <v>4.3895737482147845E-4</v>
      </c>
      <c r="AP107" s="50" t="str">
        <f t="shared" si="115"/>
        <v>1-0.00126207861653851i</v>
      </c>
      <c r="AQ107" s="50">
        <f t="shared" si="138"/>
        <v>1.0000007964209001</v>
      </c>
      <c r="AR107" s="50">
        <f t="shared" si="139"/>
        <v>-1.2620779464416916E-3</v>
      </c>
      <c r="AS107" s="59" t="str">
        <f t="shared" si="140"/>
        <v>94.9642676917343-34.6006714969396i</v>
      </c>
      <c r="AT107" s="50">
        <f t="shared" si="141"/>
        <v>40.092561678031927</v>
      </c>
      <c r="AU107" s="61">
        <f t="shared" si="142"/>
        <v>-20.019445970034319</v>
      </c>
      <c r="AV107" s="32" t="str">
        <f t="shared" si="116"/>
        <v>-0.0000333333333333333</v>
      </c>
      <c r="AW107" s="32" t="str">
        <f t="shared" si="117"/>
        <v>0.0000234110614941212i</v>
      </c>
      <c r="AX107" s="32">
        <f t="shared" si="143"/>
        <v>2.34110614941212E-5</v>
      </c>
      <c r="AY107" s="32">
        <f t="shared" si="144"/>
        <v>1.5707963267948966</v>
      </c>
      <c r="AZ107" s="32" t="str">
        <f t="shared" si="118"/>
        <v>1+0.0095513879359696i</v>
      </c>
      <c r="BA107" s="32">
        <f t="shared" si="145"/>
        <v>1.0000456134654576</v>
      </c>
      <c r="BB107" s="32">
        <f t="shared" si="146"/>
        <v>9.5510974973073322E-3</v>
      </c>
      <c r="BC107" s="32" t="str">
        <f t="shared" si="119"/>
        <v>1+0.458466620926542i</v>
      </c>
      <c r="BD107" s="32">
        <f t="shared" si="147"/>
        <v>1.1000871067800957</v>
      </c>
      <c r="BE107" s="32">
        <f t="shared" si="148"/>
        <v>0.42987242224972833</v>
      </c>
      <c r="BF107" s="59" t="str">
        <f t="shared" si="149"/>
        <v>-0.639119934460889+1.42993284415304i</v>
      </c>
      <c r="BG107" s="50">
        <f t="shared" si="150"/>
        <v>3.8972981004453011</v>
      </c>
      <c r="BH107" s="61">
        <f t="shared" si="151"/>
        <v>114.08263794766131</v>
      </c>
      <c r="BI107" s="59" t="str">
        <f t="shared" si="152"/>
        <v>-1.40802636519108+27.1451691659099i</v>
      </c>
      <c r="BJ107" s="64">
        <f t="shared" si="153"/>
        <v>28.685520145098184</v>
      </c>
      <c r="BK107" s="61">
        <f t="shared" si="154"/>
        <v>92.969284610749781</v>
      </c>
      <c r="BL107" s="59" t="str">
        <f t="shared" si="105"/>
        <v>-11.2169199400437+157.906504292779i</v>
      </c>
      <c r="BM107" s="64">
        <f t="shared" si="155"/>
        <v>43.989859778477225</v>
      </c>
      <c r="BN107" s="61">
        <f t="shared" si="106"/>
        <v>94.063191977627</v>
      </c>
      <c r="BO107" s="50">
        <f t="shared" si="156"/>
        <v>28.685520145098184</v>
      </c>
      <c r="BP107" s="61">
        <f t="shared" si="157"/>
        <v>92.969284610749781</v>
      </c>
    </row>
    <row r="108" spans="14:68" x14ac:dyDescent="0.25">
      <c r="N108" s="11">
        <v>90</v>
      </c>
      <c r="O108" s="51">
        <f t="shared" si="120"/>
        <v>79.432823472428197</v>
      </c>
      <c r="P108" s="49" t="str">
        <f t="shared" si="107"/>
        <v>37.1583961085025</v>
      </c>
      <c r="Q108" s="18" t="str">
        <f t="shared" si="108"/>
        <v>1+0.391192592803295i</v>
      </c>
      <c r="R108" s="18">
        <f t="shared" si="121"/>
        <v>1.0737931107360321</v>
      </c>
      <c r="S108" s="18">
        <f t="shared" si="122"/>
        <v>0.37289080270345548</v>
      </c>
      <c r="T108" s="18" t="str">
        <f t="shared" si="109"/>
        <v>1+0.000449182034414776i</v>
      </c>
      <c r="U108" s="18">
        <f t="shared" si="123"/>
        <v>1.000000100882245</v>
      </c>
      <c r="V108" s="18">
        <f t="shared" si="124"/>
        <v>4.4918200420511679E-4</v>
      </c>
      <c r="W108" s="32" t="str">
        <f t="shared" si="110"/>
        <v>1-0.00393164251766404i</v>
      </c>
      <c r="X108" s="18">
        <f t="shared" si="125"/>
        <v>1.0000077288765756</v>
      </c>
      <c r="Y108" s="18">
        <f t="shared" si="126"/>
        <v>-3.9316222596538011E-3</v>
      </c>
      <c r="Z108" s="32" t="str">
        <f t="shared" si="111"/>
        <v>0.999999842260664+0.000946609546600027i</v>
      </c>
      <c r="AA108" s="18">
        <f t="shared" si="127"/>
        <v>1.0000002902954512</v>
      </c>
      <c r="AB108" s="18">
        <f t="shared" si="128"/>
        <v>9.4660941317494017E-4</v>
      </c>
      <c r="AC108" s="32" t="str">
        <f>IMDIV(IMSUM(COMPLEX(0,2*PI()*O108*Constants!$B$61*Constants!$B$62),COMPLEX(1,0)),IMSUM(COMPLEX(0,2*PI()*O108*Constants!$B$61*Constants!$B$62),COMPLEX(2,0)))</f>
        <v>0.500000498183454+0.000499090652071844i</v>
      </c>
      <c r="AD108" s="18">
        <f t="shared" si="129"/>
        <v>0.50000074727462274</v>
      </c>
      <c r="AE108" s="18">
        <f t="shared" si="130"/>
        <v>9.9817997807310523E-4</v>
      </c>
      <c r="AF108" s="66" t="str">
        <f t="shared" si="131"/>
        <v>16.0917705485473-6.35872470196253i</v>
      </c>
      <c r="AG108" s="64">
        <f t="shared" si="132"/>
        <v>24.762205489216083</v>
      </c>
      <c r="AH108" s="61">
        <f t="shared" si="133"/>
        <v>-21.561643567481358</v>
      </c>
      <c r="AI108" s="50" t="str">
        <f t="shared" si="112"/>
        <v>107.538871525172</v>
      </c>
      <c r="AJ108" s="50" t="str">
        <f t="shared" si="113"/>
        <v>1+0.371887723297949i</v>
      </c>
      <c r="AK108" s="50">
        <f t="shared" si="134"/>
        <v>1.0669116546086335</v>
      </c>
      <c r="AL108" s="50">
        <f t="shared" si="135"/>
        <v>0.35603931093487817</v>
      </c>
      <c r="AM108" s="50" t="str">
        <f t="shared" si="114"/>
        <v>1+0.000449182034414776i</v>
      </c>
      <c r="AN108" s="50">
        <f t="shared" si="136"/>
        <v>1.000000100882245</v>
      </c>
      <c r="AO108" s="50">
        <f t="shared" si="137"/>
        <v>4.4918200420511679E-4</v>
      </c>
      <c r="AP108" s="50" t="str">
        <f t="shared" si="115"/>
        <v>1-0.00129147620401125i</v>
      </c>
      <c r="AQ108" s="50">
        <f t="shared" si="138"/>
        <v>1.000000833955045</v>
      </c>
      <c r="AR108" s="50">
        <f t="shared" si="139"/>
        <v>-1.2914754859896052E-3</v>
      </c>
      <c r="AS108" s="59" t="str">
        <f t="shared" si="140"/>
        <v>94.4436469663161-35.2130122147492i</v>
      </c>
      <c r="AT108" s="50">
        <f t="shared" si="141"/>
        <v>40.068748431509349</v>
      </c>
      <c r="AU108" s="61">
        <f t="shared" si="142"/>
        <v>-20.447809718932184</v>
      </c>
      <c r="AV108" s="32" t="str">
        <f t="shared" si="116"/>
        <v>-0.0000333333333333333</v>
      </c>
      <c r="AW108" s="32" t="str">
        <f t="shared" si="117"/>
        <v>0.000023956375168788i</v>
      </c>
      <c r="AX108" s="32">
        <f t="shared" si="143"/>
        <v>2.3956375168787999E-5</v>
      </c>
      <c r="AY108" s="32">
        <f t="shared" si="144"/>
        <v>1.5707963267948966</v>
      </c>
      <c r="AZ108" s="32" t="str">
        <f t="shared" si="118"/>
        <v>1+0.00977386834143263i</v>
      </c>
      <c r="BA108" s="32">
        <f t="shared" si="145"/>
        <v>1.0000477631105205</v>
      </c>
      <c r="BB108" s="32">
        <f t="shared" si="146"/>
        <v>9.7735571316017889E-3</v>
      </c>
      <c r="BC108" s="32" t="str">
        <f t="shared" si="119"/>
        <v>1+0.469145680388767i</v>
      </c>
      <c r="BD108" s="32">
        <f t="shared" si="147"/>
        <v>1.1045803137062686</v>
      </c>
      <c r="BE108" s="32">
        <f t="shared" si="148"/>
        <v>0.4386609114199303</v>
      </c>
      <c r="BF108" s="59" t="str">
        <f t="shared" si="149"/>
        <v>-0.639117186833053+1.39766471856553i</v>
      </c>
      <c r="BG108" s="50">
        <f t="shared" si="150"/>
        <v>3.7326839112969603</v>
      </c>
      <c r="BH108" s="61">
        <f t="shared" si="151"/>
        <v>114.57343528725323</v>
      </c>
      <c r="BI108" s="59" t="str">
        <f t="shared" si="152"/>
        <v>-1.39716195314638+26.5548701983206i</v>
      </c>
      <c r="BJ108" s="64">
        <f t="shared" si="153"/>
        <v>28.494889400513049</v>
      </c>
      <c r="BK108" s="61">
        <f t="shared" si="154"/>
        <v>93.011791719771878</v>
      </c>
      <c r="BL108" s="59" t="str">
        <f t="shared" si="105"/>
        <v>-11.1445731563939+154.505794564087i</v>
      </c>
      <c r="BM108" s="64">
        <f t="shared" si="155"/>
        <v>43.801432342806315</v>
      </c>
      <c r="BN108" s="61">
        <f t="shared" si="106"/>
        <v>94.125625568321027</v>
      </c>
      <c r="BO108" s="50">
        <f t="shared" si="156"/>
        <v>28.494889400513049</v>
      </c>
      <c r="BP108" s="61">
        <f t="shared" si="157"/>
        <v>93.011791719771878</v>
      </c>
    </row>
    <row r="109" spans="14:68" x14ac:dyDescent="0.25">
      <c r="N109" s="11">
        <v>91</v>
      </c>
      <c r="O109" s="51">
        <f t="shared" si="120"/>
        <v>81.283051616409963</v>
      </c>
      <c r="P109" s="49" t="str">
        <f t="shared" si="107"/>
        <v>37.1583961085025</v>
      </c>
      <c r="Q109" s="18" t="str">
        <f t="shared" si="108"/>
        <v>1+0.400304638847749i</v>
      </c>
      <c r="R109" s="18">
        <f t="shared" si="121"/>
        <v>1.0771461385917078</v>
      </c>
      <c r="S109" s="18">
        <f t="shared" si="122"/>
        <v>0.38076896921792031</v>
      </c>
      <c r="T109" s="18" t="str">
        <f t="shared" si="109"/>
        <v>1+0.000459644828075053i</v>
      </c>
      <c r="U109" s="18">
        <f t="shared" si="123"/>
        <v>1.0000001056366783</v>
      </c>
      <c r="V109" s="18">
        <f t="shared" si="124"/>
        <v>4.5964479570482017E-4</v>
      </c>
      <c r="W109" s="32" t="str">
        <f t="shared" si="110"/>
        <v>1-0.00402322223647867i</v>
      </c>
      <c r="X109" s="18">
        <f t="shared" si="125"/>
        <v>1.0000080931258328</v>
      </c>
      <c r="Y109" s="18">
        <f t="shared" si="126"/>
        <v>-4.023200529639101E-3</v>
      </c>
      <c r="Z109" s="32" t="str">
        <f t="shared" si="111"/>
        <v>0.999999834826638+0.000968658915461868i</v>
      </c>
      <c r="AA109" s="18">
        <f t="shared" si="127"/>
        <v>1.0000003039766527</v>
      </c>
      <c r="AB109" s="18">
        <f t="shared" si="128"/>
        <v>9.6865877249431391E-4</v>
      </c>
      <c r="AC109" s="32" t="str">
        <f>IMDIV(IMSUM(COMPLEX(0,2*PI()*O109*Constants!$B$61*Constants!$B$62),COMPLEX(1,0)),IMSUM(COMPLEX(0,2*PI()*O109*Constants!$B$61*Constants!$B$62),COMPLEX(2,0)))</f>
        <v>0.500000521662093+0.000510715942796097i</v>
      </c>
      <c r="AD109" s="18">
        <f t="shared" si="129"/>
        <v>0.500000782492527</v>
      </c>
      <c r="AE109" s="18">
        <f t="shared" si="130"/>
        <v>1.0214304646822233E-3</v>
      </c>
      <c r="AF109" s="66" t="str">
        <f t="shared" si="131"/>
        <v>15.9907324317542-6.46639240608405i</v>
      </c>
      <c r="AG109" s="64">
        <f t="shared" si="132"/>
        <v>24.735128874799489</v>
      </c>
      <c r="AH109" s="61">
        <f t="shared" si="133"/>
        <v>-22.017608014107552</v>
      </c>
      <c r="AI109" s="50" t="str">
        <f t="shared" si="112"/>
        <v>107.538871525172</v>
      </c>
      <c r="AJ109" s="50" t="str">
        <f t="shared" si="113"/>
        <v>1+0.380550101166035i</v>
      </c>
      <c r="AK109" s="50">
        <f t="shared" si="134"/>
        <v>1.0699618588984747</v>
      </c>
      <c r="AL109" s="50">
        <f t="shared" si="135"/>
        <v>0.36362761171080105</v>
      </c>
      <c r="AM109" s="50" t="str">
        <f t="shared" si="114"/>
        <v>1+0.000459644828075053i</v>
      </c>
      <c r="AN109" s="50">
        <f t="shared" si="136"/>
        <v>1.0000001056366783</v>
      </c>
      <c r="AO109" s="50">
        <f t="shared" si="137"/>
        <v>4.5964479570482017E-4</v>
      </c>
      <c r="AP109" s="50" t="str">
        <f t="shared" si="115"/>
        <v>1-0.00132155854926206i</v>
      </c>
      <c r="AQ109" s="50">
        <f t="shared" si="138"/>
        <v>1.0000008732581183</v>
      </c>
      <c r="AR109" s="50">
        <f t="shared" si="139"/>
        <v>-1.3215577798880423E-3</v>
      </c>
      <c r="AS109" s="59" t="str">
        <f t="shared" si="140"/>
        <v>93.9045580322874-35.8280782880673i</v>
      </c>
      <c r="AT109" s="50">
        <f t="shared" si="141"/>
        <v>40.043952067294185</v>
      </c>
      <c r="AU109" s="61">
        <f t="shared" si="142"/>
        <v>-20.883711441752006</v>
      </c>
      <c r="AV109" s="32" t="str">
        <f t="shared" si="116"/>
        <v>-0.0000333333333333333</v>
      </c>
      <c r="AW109" s="32" t="str">
        <f t="shared" si="117"/>
        <v>0.0000245143908306695i</v>
      </c>
      <c r="AX109" s="32">
        <f t="shared" si="143"/>
        <v>2.45143908306695E-5</v>
      </c>
      <c r="AY109" s="32">
        <f t="shared" si="144"/>
        <v>1.5707963267948966</v>
      </c>
      <c r="AZ109" s="32" t="str">
        <f t="shared" si="118"/>
        <v>1+0.0100015309812627i</v>
      </c>
      <c r="BA109" s="32">
        <f t="shared" si="145"/>
        <v>1.0000500140602815</v>
      </c>
      <c r="BB109" s="32">
        <f t="shared" si="146"/>
        <v>1.0001197514821683E-2</v>
      </c>
      <c r="BC109" s="32" t="str">
        <f t="shared" si="119"/>
        <v>1+0.480073487100611i</v>
      </c>
      <c r="BD109" s="32">
        <f t="shared" si="147"/>
        <v>1.1092657720388475</v>
      </c>
      <c r="BE109" s="32">
        <f t="shared" si="148"/>
        <v>0.44757969963198613</v>
      </c>
      <c r="BF109" s="59" t="str">
        <f t="shared" si="149"/>
        <v>-0.639114309738826+1.36613765078039i</v>
      </c>
      <c r="BG109" s="50">
        <f t="shared" si="150"/>
        <v>3.569430633716808</v>
      </c>
      <c r="BH109" s="61">
        <f t="shared" si="151"/>
        <v>115.07140137696986</v>
      </c>
      <c r="BI109" s="59" t="str">
        <f t="shared" si="152"/>
        <v>-1.38592378966703+25.9783055576893i</v>
      </c>
      <c r="BJ109" s="64">
        <f t="shared" si="153"/>
        <v>28.304559508516309</v>
      </c>
      <c r="BK109" s="61">
        <f t="shared" si="154"/>
        <v>93.053793362862336</v>
      </c>
      <c r="BL109" s="59" t="str">
        <f t="shared" si="105"/>
        <v>-11.0696600836987+151.184789832147i</v>
      </c>
      <c r="BM109" s="64">
        <f t="shared" si="155"/>
        <v>43.613382701011012</v>
      </c>
      <c r="BN109" s="61">
        <f t="shared" si="106"/>
        <v>94.187689935217861</v>
      </c>
      <c r="BO109" s="50">
        <f t="shared" si="156"/>
        <v>28.304559508516309</v>
      </c>
      <c r="BP109" s="61">
        <f t="shared" si="157"/>
        <v>93.053793362862336</v>
      </c>
    </row>
    <row r="110" spans="14:68" x14ac:dyDescent="0.25">
      <c r="N110" s="11">
        <v>92</v>
      </c>
      <c r="O110" s="51">
        <f t="shared" si="120"/>
        <v>83.176377110267126</v>
      </c>
      <c r="P110" s="49" t="str">
        <f t="shared" si="107"/>
        <v>37.1583961085025</v>
      </c>
      <c r="Q110" s="18" t="str">
        <f t="shared" si="108"/>
        <v>1+0.40962893171038i</v>
      </c>
      <c r="R110" s="18">
        <f t="shared" si="121"/>
        <v>1.0806460390406227</v>
      </c>
      <c r="S110" s="18">
        <f t="shared" si="122"/>
        <v>0.38877952143038214</v>
      </c>
      <c r="T110" s="18" t="str">
        <f t="shared" si="109"/>
        <v>1+0.000470351331507293i</v>
      </c>
      <c r="U110" s="18">
        <f t="shared" si="123"/>
        <v>1.0000001106151815</v>
      </c>
      <c r="V110" s="18">
        <f t="shared" si="124"/>
        <v>4.703512968219638E-4</v>
      </c>
      <c r="W110" s="32" t="str">
        <f t="shared" si="110"/>
        <v>1-0.00411693512097673i</v>
      </c>
      <c r="X110" s="18">
        <f t="shared" si="125"/>
        <v>1.0000084745414863</v>
      </c>
      <c r="Y110" s="18">
        <f t="shared" si="126"/>
        <v>-4.1169118616897222E-3</v>
      </c>
      <c r="Z110" s="32" t="str">
        <f t="shared" si="111"/>
        <v>0.999999827042257+0.000991221880102405i</v>
      </c>
      <c r="AA110" s="18">
        <f t="shared" si="127"/>
        <v>1.0000003183026291</v>
      </c>
      <c r="AB110" s="18">
        <f t="shared" si="128"/>
        <v>9.9122172690991337E-4</v>
      </c>
      <c r="AC110" s="32" t="str">
        <f>IMDIV(IMSUM(COMPLEX(0,2*PI()*O110*Constants!$B$61*Constants!$B$62),COMPLEX(1,0)),IMSUM(COMPLEX(0,2*PI()*O110*Constants!$B$61*Constants!$B$62),COMPLEX(2,0)))</f>
        <v>0.500000546247243+0.000522612019612287i</v>
      </c>
      <c r="AD110" s="18">
        <f t="shared" si="129"/>
        <v>0.50000081937019314</v>
      </c>
      <c r="AE110" s="18">
        <f t="shared" si="130"/>
        <v>1.0452225166924019E-3</v>
      </c>
      <c r="AF110" s="66" t="str">
        <f t="shared" si="131"/>
        <v>15.8862701426461-6.57422326456673i</v>
      </c>
      <c r="AG110" s="64">
        <f t="shared" si="132"/>
        <v>24.706956006106079</v>
      </c>
      <c r="AH110" s="61">
        <f t="shared" si="133"/>
        <v>-22.481264251837747</v>
      </c>
      <c r="AI110" s="50" t="str">
        <f t="shared" si="112"/>
        <v>107.538871525172</v>
      </c>
      <c r="AJ110" s="50" t="str">
        <f t="shared" si="113"/>
        <v>1+0.389414251734935i</v>
      </c>
      <c r="AK110" s="50">
        <f t="shared" si="134"/>
        <v>1.073146522826347</v>
      </c>
      <c r="AL110" s="50">
        <f t="shared" si="135"/>
        <v>0.37134755515965517</v>
      </c>
      <c r="AM110" s="50" t="str">
        <f t="shared" si="114"/>
        <v>1+0.000470351331507293i</v>
      </c>
      <c r="AN110" s="50">
        <f t="shared" si="136"/>
        <v>1.0000001106151815</v>
      </c>
      <c r="AO110" s="50">
        <f t="shared" si="137"/>
        <v>4.703512968219638E-4</v>
      </c>
      <c r="AP110" s="50" t="str">
        <f t="shared" si="115"/>
        <v>1-0.00135234160234858i</v>
      </c>
      <c r="AQ110" s="50">
        <f t="shared" si="138"/>
        <v>1.0000009144134867</v>
      </c>
      <c r="AR110" s="50">
        <f t="shared" si="139"/>
        <v>-1.3523407779495078E-3</v>
      </c>
      <c r="AS110" s="59" t="str">
        <f t="shared" si="140"/>
        <v>93.3466028827876-36.4453457520213i</v>
      </c>
      <c r="AT110" s="50">
        <f t="shared" si="141"/>
        <v>40.01813794550506</v>
      </c>
      <c r="AU110" s="61">
        <f t="shared" si="142"/>
        <v>-21.327181917993315</v>
      </c>
      <c r="AV110" s="32" t="str">
        <f t="shared" si="116"/>
        <v>-0.0000333333333333333</v>
      </c>
      <c r="AW110" s="32" t="str">
        <f t="shared" si="117"/>
        <v>0.0000250854043470556i</v>
      </c>
      <c r="AX110" s="32">
        <f t="shared" si="143"/>
        <v>2.5085404347055599E-5</v>
      </c>
      <c r="AY110" s="32">
        <f t="shared" si="144"/>
        <v>1.5707963267948966</v>
      </c>
      <c r="AZ110" s="32" t="str">
        <f t="shared" si="118"/>
        <v>1+0.010234496565205i</v>
      </c>
      <c r="BA110" s="32">
        <f t="shared" si="145"/>
        <v>1.0000523710886062</v>
      </c>
      <c r="BB110" s="32">
        <f t="shared" si="146"/>
        <v>1.0234139250486413E-2</v>
      </c>
      <c r="BC110" s="32" t="str">
        <f t="shared" si="119"/>
        <v>1+0.491255835129841i</v>
      </c>
      <c r="BD110" s="32">
        <f t="shared" si="147"/>
        <v>1.1141509303272683</v>
      </c>
      <c r="BE110" s="32">
        <f t="shared" si="148"/>
        <v>0.45662783919863797</v>
      </c>
      <c r="BF110" s="59" t="str">
        <f t="shared" si="149"/>
        <v>-0.639111297079096+1.33533492454796i</v>
      </c>
      <c r="BG110" s="50">
        <f t="shared" si="150"/>
        <v>3.407578458437607</v>
      </c>
      <c r="BH110" s="61">
        <f t="shared" si="151"/>
        <v>115.57647500825837</v>
      </c>
      <c r="BI110" s="59" t="str">
        <f t="shared" si="152"/>
        <v>-1.37430478966381+25.4151517001836i</v>
      </c>
      <c r="BJ110" s="64">
        <f t="shared" si="153"/>
        <v>28.114534464543667</v>
      </c>
      <c r="BK110" s="61">
        <f t="shared" si="154"/>
        <v>93.095210756420641</v>
      </c>
      <c r="BL110" s="59" t="str">
        <f t="shared" si="105"/>
        <v>-10.992125426446+147.941611113366i</v>
      </c>
      <c r="BM110" s="64">
        <f t="shared" si="155"/>
        <v>43.425716403942673</v>
      </c>
      <c r="BN110" s="61">
        <f t="shared" si="106"/>
        <v>94.249293090265056</v>
      </c>
      <c r="BO110" s="50">
        <f t="shared" si="156"/>
        <v>28.114534464543667</v>
      </c>
      <c r="BP110" s="61">
        <f t="shared" si="157"/>
        <v>93.095210756420641</v>
      </c>
    </row>
    <row r="111" spans="14:68" x14ac:dyDescent="0.25">
      <c r="N111" s="11">
        <v>93</v>
      </c>
      <c r="O111" s="51">
        <f t="shared" si="120"/>
        <v>85.113803820237734</v>
      </c>
      <c r="P111" s="49" t="str">
        <f t="shared" si="107"/>
        <v>37.1583961085025</v>
      </c>
      <c r="Q111" s="18" t="str">
        <f t="shared" si="108"/>
        <v>1+0.419170415254684i</v>
      </c>
      <c r="R111" s="18">
        <f t="shared" si="121"/>
        <v>1.0842987766408225</v>
      </c>
      <c r="S111" s="18">
        <f t="shared" si="122"/>
        <v>0.39692259336972469</v>
      </c>
      <c r="T111" s="18" t="str">
        <f t="shared" si="109"/>
        <v>1+0.000481307221441336i</v>
      </c>
      <c r="U111" s="18">
        <f t="shared" si="123"/>
        <v>1.0000001158283141</v>
      </c>
      <c r="V111" s="18">
        <f t="shared" si="124"/>
        <v>4.8130718427533636E-4</v>
      </c>
      <c r="W111" s="32" t="str">
        <f t="shared" si="110"/>
        <v>1-0.00421283085897001i</v>
      </c>
      <c r="X111" s="18">
        <f t="shared" si="125"/>
        <v>1.0000088739325499</v>
      </c>
      <c r="Y111" s="18">
        <f t="shared" si="126"/>
        <v>-4.2128059362068994E-3</v>
      </c>
      <c r="Z111" s="32" t="str">
        <f t="shared" si="111"/>
        <v>0.99999981889101+0.00101431040370415i</v>
      </c>
      <c r="AA111" s="18">
        <f t="shared" si="127"/>
        <v>1.0000003333037684</v>
      </c>
      <c r="AB111" s="18">
        <f t="shared" si="128"/>
        <v>1.0143102395554402E-3</v>
      </c>
      <c r="AC111" s="32" t="str">
        <f>IMDIV(IMSUM(COMPLEX(0,2*PI()*O111*Constants!$B$61*Constants!$B$62),COMPLEX(1,0)),IMSUM(COMPLEX(0,2*PI()*O111*Constants!$B$61*Constants!$B$62),COMPLEX(2,0)))</f>
        <v>0.500000571991053+0.000534785189816095i</v>
      </c>
      <c r="AD111" s="18">
        <f t="shared" si="129"/>
        <v>0.50000085798584326</v>
      </c>
      <c r="AE111" s="18">
        <f t="shared" si="130"/>
        <v>1.0695687482099021E-3</v>
      </c>
      <c r="AF111" s="66" t="str">
        <f t="shared" si="131"/>
        <v>15.7783230719847-6.68210838428766i</v>
      </c>
      <c r="AG111" s="64">
        <f t="shared" si="132"/>
        <v>24.677650024451903</v>
      </c>
      <c r="AH111" s="61">
        <f t="shared" si="133"/>
        <v>-22.952622443888494</v>
      </c>
      <c r="AI111" s="50" t="str">
        <f t="shared" si="112"/>
        <v>107.538871525172</v>
      </c>
      <c r="AJ111" s="50" t="str">
        <f t="shared" si="113"/>
        <v>1+0.398484874894614i</v>
      </c>
      <c r="AK111" s="50">
        <f t="shared" si="134"/>
        <v>1.0764711772824092</v>
      </c>
      <c r="AL111" s="50">
        <f t="shared" si="135"/>
        <v>0.37919955276423378</v>
      </c>
      <c r="AM111" s="50" t="str">
        <f t="shared" si="114"/>
        <v>1+0.000481307221441336i</v>
      </c>
      <c r="AN111" s="50">
        <f t="shared" si="136"/>
        <v>1.0000001158283141</v>
      </c>
      <c r="AO111" s="50">
        <f t="shared" si="137"/>
        <v>4.8130718427533636E-4</v>
      </c>
      <c r="AP111" s="50" t="str">
        <f t="shared" si="115"/>
        <v>1-0.00138384168485303i</v>
      </c>
      <c r="AQ111" s="50">
        <f t="shared" si="138"/>
        <v>1.0000009575084459</v>
      </c>
      <c r="AR111" s="50">
        <f t="shared" si="139"/>
        <v>-1.3838408014935546E-3</v>
      </c>
      <c r="AS111" s="59" t="str">
        <f t="shared" si="140"/>
        <v>92.7693965711969-37.0642589244301i</v>
      </c>
      <c r="AT111" s="50">
        <f t="shared" si="141"/>
        <v>39.99127069955145</v>
      </c>
      <c r="AU111" s="61">
        <f t="shared" si="142"/>
        <v>-21.778245333774244</v>
      </c>
      <c r="AV111" s="32" t="str">
        <f t="shared" si="116"/>
        <v>-0.0000333333333333333</v>
      </c>
      <c r="AW111" s="32" t="str">
        <f t="shared" si="117"/>
        <v>0.0000256697184768712i</v>
      </c>
      <c r="AX111" s="32">
        <f t="shared" si="143"/>
        <v>2.5669718476871199E-5</v>
      </c>
      <c r="AY111" s="32">
        <f t="shared" si="144"/>
        <v>1.5707963267948966</v>
      </c>
      <c r="AZ111" s="32" t="str">
        <f t="shared" si="118"/>
        <v>1+0.0104728886146957i</v>
      </c>
      <c r="BA111" s="32">
        <f t="shared" si="145"/>
        <v>1.0000548391942994</v>
      </c>
      <c r="BB111" s="32">
        <f t="shared" si="146"/>
        <v>1.04725057462106E-2</v>
      </c>
      <c r="BC111" s="32" t="str">
        <f t="shared" si="119"/>
        <v>1+0.502698653505396i</v>
      </c>
      <c r="BD111" s="32">
        <f t="shared" si="147"/>
        <v>1.1192434660234287</v>
      </c>
      <c r="BE111" s="32">
        <f t="shared" si="148"/>
        <v>0.46580420050086874</v>
      </c>
      <c r="BF111" s="59" t="str">
        <f t="shared" si="149"/>
        <v>-0.639108142467523+1.30524020766108i</v>
      </c>
      <c r="BG111" s="50">
        <f t="shared" si="150"/>
        <v>3.2471678311316614</v>
      </c>
      <c r="BH111" s="61">
        <f t="shared" si="151"/>
        <v>116.08858438798103</v>
      </c>
      <c r="BI111" s="59" t="str">
        <f t="shared" si="152"/>
        <v>-1.36229821466713+24.8650915602697i</v>
      </c>
      <c r="BJ111" s="64">
        <f t="shared" si="153"/>
        <v>27.924817855583576</v>
      </c>
      <c r="BK111" s="61">
        <f t="shared" si="154"/>
        <v>93.135961944092543</v>
      </c>
      <c r="BL111" s="59" t="str">
        <f t="shared" si="105"/>
        <v>-10.9119157051235+144.77441611831i</v>
      </c>
      <c r="BM111" s="64">
        <f t="shared" si="155"/>
        <v>43.238438530683112</v>
      </c>
      <c r="BN111" s="61">
        <f t="shared" si="106"/>
        <v>94.310339054206807</v>
      </c>
      <c r="BO111" s="50">
        <f t="shared" si="156"/>
        <v>27.924817855583576</v>
      </c>
      <c r="BP111" s="61">
        <f t="shared" si="157"/>
        <v>93.135961944092543</v>
      </c>
    </row>
    <row r="112" spans="14:68" x14ac:dyDescent="0.25">
      <c r="N112" s="11">
        <v>94</v>
      </c>
      <c r="O112" s="51">
        <f t="shared" si="120"/>
        <v>87.096358995608071</v>
      </c>
      <c r="P112" s="49" t="str">
        <f t="shared" si="107"/>
        <v>37.1583961085025</v>
      </c>
      <c r="Q112" s="18" t="str">
        <f t="shared" si="108"/>
        <v>1+0.428934148501531i</v>
      </c>
      <c r="R112" s="18">
        <f t="shared" si="121"/>
        <v>1.0881105200073813</v>
      </c>
      <c r="S112" s="18">
        <f t="shared" si="122"/>
        <v>0.40519818183969697</v>
      </c>
      <c r="T112" s="18" t="str">
        <f t="shared" si="109"/>
        <v>1+0.000492518306835039i</v>
      </c>
      <c r="U112" s="18">
        <f t="shared" si="123"/>
        <v>1.0000001212871339</v>
      </c>
      <c r="V112" s="18">
        <f t="shared" si="124"/>
        <v>4.9251826701095312E-4</v>
      </c>
      <c r="W112" s="32" t="str">
        <f t="shared" si="110"/>
        <v>1-0.00431096029564811i</v>
      </c>
      <c r="X112" s="18">
        <f t="shared" si="125"/>
        <v>1.0000092921461634</v>
      </c>
      <c r="Y112" s="18">
        <f t="shared" si="126"/>
        <v>-4.3109335904397E-3</v>
      </c>
      <c r="Z112" s="32" t="str">
        <f t="shared" si="111"/>
        <v>0.999999810355606+0.00103793672810791i</v>
      </c>
      <c r="AA112" s="18">
        <f t="shared" si="127"/>
        <v>1.0000003490118889</v>
      </c>
      <c r="AB112" s="18">
        <f t="shared" si="128"/>
        <v>1.0379365522194019E-3</v>
      </c>
      <c r="AC112" s="32" t="str">
        <f>IMDIV(IMSUM(COMPLEX(0,2*PI()*O112*Constants!$B$61*Constants!$B$62),COMPLEX(1,0)),IMSUM(COMPLEX(0,2*PI()*O112*Constants!$B$61*Constants!$B$62),COMPLEX(2,0)))</f>
        <v>0.500000598948128+0.000547241907610225i</v>
      </c>
      <c r="AD112" s="18">
        <f t="shared" si="129"/>
        <v>0.50000089842138495</v>
      </c>
      <c r="AE112" s="18">
        <f t="shared" si="130"/>
        <v>1.0944820671203424E-3</v>
      </c>
      <c r="AF112" s="66" t="str">
        <f t="shared" si="131"/>
        <v>15.6668341346546-6.78993327776094i</v>
      </c>
      <c r="AG112" s="64">
        <f t="shared" si="132"/>
        <v>24.647173443190013</v>
      </c>
      <c r="AH112" s="61">
        <f t="shared" si="133"/>
        <v>-23.431684948895352</v>
      </c>
      <c r="AI112" s="50" t="str">
        <f t="shared" si="112"/>
        <v>107.538871525172</v>
      </c>
      <c r="AJ112" s="50" t="str">
        <f t="shared" si="113"/>
        <v>1+0.40776678000953i</v>
      </c>
      <c r="AK112" s="50">
        <f t="shared" si="134"/>
        <v>1.0799415478993946</v>
      </c>
      <c r="AL112" s="50">
        <f t="shared" si="135"/>
        <v>0.38718389387912755</v>
      </c>
      <c r="AM112" s="50" t="str">
        <f t="shared" si="114"/>
        <v>1+0.000492518306835039i</v>
      </c>
      <c r="AN112" s="50">
        <f t="shared" si="136"/>
        <v>1.0000001212871339</v>
      </c>
      <c r="AO112" s="50">
        <f t="shared" si="137"/>
        <v>4.9251826701095312E-4</v>
      </c>
      <c r="AP112" s="50" t="str">
        <f t="shared" si="115"/>
        <v>1-0.0014160754985361i</v>
      </c>
      <c r="AQ112" s="50">
        <f t="shared" si="138"/>
        <v>1.0000010026344062</v>
      </c>
      <c r="AR112" s="50">
        <f t="shared" si="139"/>
        <v>-1.4160745519994199E-3</v>
      </c>
      <c r="AS112" s="59" t="str">
        <f t="shared" si="140"/>
        <v>92.1725693581027-37.6842301105431i</v>
      </c>
      <c r="AT112" s="50">
        <f t="shared" si="141"/>
        <v>39.963314262346174</v>
      </c>
      <c r="AU112" s="61">
        <f t="shared" si="142"/>
        <v>-22.236918891987777</v>
      </c>
      <c r="AV112" s="32" t="str">
        <f t="shared" si="116"/>
        <v>-0.0000333333333333333</v>
      </c>
      <c r="AW112" s="32" t="str">
        <f t="shared" si="117"/>
        <v>0.0000262676430312021i</v>
      </c>
      <c r="AX112" s="32">
        <f t="shared" si="143"/>
        <v>2.6267643031202098E-5</v>
      </c>
      <c r="AY112" s="32">
        <f t="shared" si="144"/>
        <v>1.5707963267948966</v>
      </c>
      <c r="AZ112" s="32" t="str">
        <f t="shared" si="118"/>
        <v>1+0.010716833528355i</v>
      </c>
      <c r="BA112" s="32">
        <f t="shared" si="145"/>
        <v>1.0000574236117017</v>
      </c>
      <c r="BB112" s="32">
        <f t="shared" si="146"/>
        <v>1.0716423278654113E-2</v>
      </c>
      <c r="BC112" s="32" t="str">
        <f t="shared" si="119"/>
        <v>1+0.514408009361042i</v>
      </c>
      <c r="BD112" s="32">
        <f t="shared" si="147"/>
        <v>1.1245512883345028</v>
      </c>
      <c r="BE112" s="32">
        <f t="shared" si="148"/>
        <v>0.47510746641079693</v>
      </c>
      <c r="BF112" s="59" t="str">
        <f t="shared" si="149"/>
        <v>-0.639104839217063+1.27583754329468i</v>
      </c>
      <c r="BG112" s="50">
        <f t="shared" si="150"/>
        <v>3.0882393790707425</v>
      </c>
      <c r="BH112" s="61">
        <f t="shared" si="151"/>
        <v>116.60764681514948</v>
      </c>
      <c r="BI112" s="59" t="str">
        <f t="shared" si="152"/>
        <v>-1.34989771843551+24.327814389341i</v>
      </c>
      <c r="BJ112" s="64">
        <f t="shared" si="153"/>
        <v>27.735412822260773</v>
      </c>
      <c r="BK112" s="61">
        <f t="shared" si="154"/>
        <v>93.175961866254113</v>
      </c>
      <c r="BL112" s="59" t="str">
        <f t="shared" si="105"/>
        <v>-10.8289795546471+141.681398274818i</v>
      </c>
      <c r="BM112" s="64">
        <f t="shared" si="155"/>
        <v>43.05155364141693</v>
      </c>
      <c r="BN112" s="61">
        <f t="shared" si="106"/>
        <v>94.370727923161695</v>
      </c>
      <c r="BO112" s="50">
        <f t="shared" si="156"/>
        <v>27.735412822260773</v>
      </c>
      <c r="BP112" s="61">
        <f t="shared" si="157"/>
        <v>93.175961866254113</v>
      </c>
    </row>
    <row r="113" spans="14:68" x14ac:dyDescent="0.25">
      <c r="N113" s="11">
        <v>95</v>
      </c>
      <c r="O113" s="51">
        <f t="shared" si="120"/>
        <v>89.125093813374562</v>
      </c>
      <c r="P113" s="49" t="str">
        <f t="shared" si="107"/>
        <v>37.1583961085025</v>
      </c>
      <c r="Q113" s="18" t="str">
        <f t="shared" si="108"/>
        <v>1+0.438925308311529i</v>
      </c>
      <c r="R113" s="18">
        <f t="shared" si="121"/>
        <v>1.0920876458766351</v>
      </c>
      <c r="S113" s="18">
        <f t="shared" si="122"/>
        <v>0.41360613956190989</v>
      </c>
      <c r="T113" s="18" t="str">
        <f t="shared" si="109"/>
        <v>1+0.000503990531954278i</v>
      </c>
      <c r="U113" s="18">
        <f t="shared" si="123"/>
        <v>1.0000001270032202</v>
      </c>
      <c r="V113" s="18">
        <f t="shared" si="124"/>
        <v>5.0399048928200147E-4</v>
      </c>
      <c r="W113" s="32" t="str">
        <f t="shared" si="110"/>
        <v>1-0.00441137546053728i</v>
      </c>
      <c r="X113" s="18">
        <f t="shared" si="125"/>
        <v>1.0000097300693898</v>
      </c>
      <c r="Y113" s="18">
        <f t="shared" si="126"/>
        <v>-4.4113468454059553E-3</v>
      </c>
      <c r="Z113" s="32" t="str">
        <f t="shared" si="111"/>
        <v>0.999999801417941+0.00106211338030364i</v>
      </c>
      <c r="AA113" s="18">
        <f t="shared" si="127"/>
        <v>1.0000003654603105</v>
      </c>
      <c r="AB113" s="18">
        <f t="shared" si="128"/>
        <v>1.0621131918357113E-3</v>
      </c>
      <c r="AC113" s="32" t="str">
        <f>IMDIV(IMSUM(COMPLEX(0,2*PI()*O113*Constants!$B$61*Constants!$B$62),COMPLEX(1,0)),IMSUM(COMPLEX(0,2*PI()*O113*Constants!$B$61*Constants!$B$62),COMPLEX(2,0)))</f>
        <v>0.500000627175649+0.000559988777525667i</v>
      </c>
      <c r="AD113" s="18">
        <f t="shared" si="129"/>
        <v>0.50000094076258828</v>
      </c>
      <c r="AE113" s="18">
        <f t="shared" si="130"/>
        <v>1.1199756819287318E-3</v>
      </c>
      <c r="AF113" s="66" t="str">
        <f t="shared" si="131"/>
        <v>15.5517501941136-6.8975778944536i</v>
      </c>
      <c r="AG113" s="64">
        <f t="shared" si="132"/>
        <v>24.615488187588234</v>
      </c>
      <c r="AH113" s="61">
        <f t="shared" si="133"/>
        <v>-23.918445929381345</v>
      </c>
      <c r="AI113" s="50" t="str">
        <f t="shared" si="112"/>
        <v>107.538871525172</v>
      </c>
      <c r="AJ113" s="50" t="str">
        <f t="shared" si="113"/>
        <v>1+0.41726488846864i</v>
      </c>
      <c r="AK113" s="50">
        <f t="shared" si="134"/>
        <v>1.0835635593488491</v>
      </c>
      <c r="AL113" s="50">
        <f t="shared" si="135"/>
        <v>0.39530073887200212</v>
      </c>
      <c r="AM113" s="50" t="str">
        <f t="shared" si="114"/>
        <v>1+0.000503990531954278i</v>
      </c>
      <c r="AN113" s="50">
        <f t="shared" si="136"/>
        <v>1.0000001270032202</v>
      </c>
      <c r="AO113" s="50">
        <f t="shared" si="137"/>
        <v>5.0399048928200147E-4</v>
      </c>
      <c r="AP113" s="50" t="str">
        <f t="shared" si="115"/>
        <v>1-0.00144906013419246i</v>
      </c>
      <c r="AQ113" s="50">
        <f t="shared" si="138"/>
        <v>1.000001049887085</v>
      </c>
      <c r="AR113" s="50">
        <f t="shared" si="139"/>
        <v>-1.4490591199601917E-3</v>
      </c>
      <c r="AS113" s="59" t="str">
        <f t="shared" si="140"/>
        <v>91.5557689578234-38.3046394413842i</v>
      </c>
      <c r="AT113" s="50">
        <f t="shared" si="141"/>
        <v>39.934231896595264</v>
      </c>
      <c r="AU113" s="61">
        <f t="shared" si="142"/>
        <v>-22.703212419656833</v>
      </c>
      <c r="AV113" s="32" t="str">
        <f t="shared" si="116"/>
        <v>-0.0000333333333333333</v>
      </c>
      <c r="AW113" s="32" t="str">
        <f t="shared" si="117"/>
        <v>0.0000268794950375615i</v>
      </c>
      <c r="AX113" s="32">
        <f t="shared" si="143"/>
        <v>2.6879495037561499E-5</v>
      </c>
      <c r="AY113" s="32">
        <f t="shared" si="144"/>
        <v>1.5707963267948966</v>
      </c>
      <c r="AZ113" s="32" t="str">
        <f t="shared" si="118"/>
        <v>1+0.0109664606490051i</v>
      </c>
      <c r="BA113" s="32">
        <f t="shared" si="145"/>
        <v>1.0000601298217853</v>
      </c>
      <c r="BB113" s="32">
        <f t="shared" si="146"/>
        <v>1.0966021059958123E-2</v>
      </c>
      <c r="BC113" s="32" t="str">
        <f t="shared" si="119"/>
        <v>1+0.526390111152246i</v>
      </c>
      <c r="BD113" s="32">
        <f t="shared" si="147"/>
        <v>1.1300825408433111</v>
      </c>
      <c r="BE113" s="32">
        <f t="shared" si="148"/>
        <v>0.4845361270936584</v>
      </c>
      <c r="BF113" s="59" t="str">
        <f t="shared" si="149"/>
        <v>-0.639101380325806+1.24711134154421i</v>
      </c>
      <c r="BG113" s="50">
        <f t="shared" si="150"/>
        <v>2.9308338328930206</v>
      </c>
      <c r="BH113" s="61">
        <f t="shared" si="151"/>
        <v>117.13356837929402</v>
      </c>
      <c r="BI113" s="59" t="str">
        <f t="shared" si="152"/>
        <v>-1.33709739418241+23.8030156011915i</v>
      </c>
      <c r="BJ113" s="64">
        <f t="shared" si="153"/>
        <v>27.546322020481252</v>
      </c>
      <c r="BK113" s="61">
        <f t="shared" si="154"/>
        <v>93.215122449912684</v>
      </c>
      <c r="BL113" s="59" t="str">
        <f t="shared" si="105"/>
        <v>-10.7432680366236+138.660785790974i</v>
      </c>
      <c r="BM113" s="64">
        <f t="shared" si="155"/>
        <v>42.8650657294883</v>
      </c>
      <c r="BN113" s="61">
        <f t="shared" si="106"/>
        <v>94.430355959637183</v>
      </c>
      <c r="BO113" s="50">
        <f t="shared" si="156"/>
        <v>27.546322020481252</v>
      </c>
      <c r="BP113" s="61">
        <f t="shared" si="157"/>
        <v>93.215122449912684</v>
      </c>
    </row>
    <row r="114" spans="14:68" x14ac:dyDescent="0.25">
      <c r="N114" s="11">
        <v>96</v>
      </c>
      <c r="O114" s="51">
        <f t="shared" si="120"/>
        <v>91.201083935590972</v>
      </c>
      <c r="P114" s="49" t="str">
        <f t="shared" si="107"/>
        <v>37.1583961085025</v>
      </c>
      <c r="Q114" s="18" t="str">
        <f t="shared" si="108"/>
        <v>1+0.449149192129857i</v>
      </c>
      <c r="R114" s="18">
        <f t="shared" si="121"/>
        <v>1.09623674303998</v>
      </c>
      <c r="S114" s="18">
        <f t="shared" si="122"/>
        <v>0.42214616837599944</v>
      </c>
      <c r="T114" s="18" t="str">
        <f t="shared" si="109"/>
        <v>1+0.000515729979524662i</v>
      </c>
      <c r="U114" s="18">
        <f t="shared" si="123"/>
        <v>1.0000001329886972</v>
      </c>
      <c r="V114" s="18">
        <f t="shared" si="124"/>
        <v>5.1572993380049432E-4</v>
      </c>
      <c r="W114" s="32" t="str">
        <f t="shared" si="110"/>
        <v>1-0.00451412959508708i</v>
      </c>
      <c r="X114" s="18">
        <f t="shared" si="125"/>
        <v>1.0000101886310966</v>
      </c>
      <c r="Y114" s="18">
        <f t="shared" si="126"/>
        <v>-4.5140989334383156E-3</v>
      </c>
      <c r="Z114" s="32" t="str">
        <f t="shared" si="111"/>
        <v>0.999999792059057+0.00108685317907234i</v>
      </c>
      <c r="AA114" s="18">
        <f t="shared" si="127"/>
        <v>1.0000003826839217</v>
      </c>
      <c r="AB114" s="18">
        <f t="shared" si="128"/>
        <v>1.0868529771253196E-3</v>
      </c>
      <c r="AC114" s="32" t="str">
        <f>IMDIV(IMSUM(COMPLEX(0,2*PI()*O114*Constants!$B$61*Constants!$B$62),COMPLEX(1,0)),IMSUM(COMPLEX(0,2*PI()*O114*Constants!$B$61*Constants!$B$62),COMPLEX(2,0)))</f>
        <v>0.500000656733487+0.000573032557922628i</v>
      </c>
      <c r="AD114" s="18">
        <f t="shared" si="129"/>
        <v>0.50000098509926039</v>
      </c>
      <c r="AE114" s="18">
        <f t="shared" si="130"/>
        <v>1.1460631087586914E-3</v>
      </c>
      <c r="AF114" s="66" t="str">
        <f t="shared" si="131"/>
        <v>15.4330224996729-7.00491668293987i</v>
      </c>
      <c r="AG114" s="64">
        <f t="shared" si="132"/>
        <v>24.582555639307643</v>
      </c>
      <c r="AH114" s="61">
        <f t="shared" si="133"/>
        <v>-24.412890963532043</v>
      </c>
      <c r="AI114" s="50" t="str">
        <f t="shared" si="112"/>
        <v>107.538871525172</v>
      </c>
      <c r="AJ114" s="50" t="str">
        <f t="shared" si="113"/>
        <v>1+0.42698423629477i</v>
      </c>
      <c r="AK114" s="50">
        <f t="shared" si="134"/>
        <v>1.0873433395410246</v>
      </c>
      <c r="AL114" s="50">
        <f t="shared" si="135"/>
        <v>0.40355011224579668</v>
      </c>
      <c r="AM114" s="50" t="str">
        <f t="shared" si="114"/>
        <v>1+0.000515729979524662i</v>
      </c>
      <c r="AN114" s="50">
        <f t="shared" si="136"/>
        <v>1.0000001329886972</v>
      </c>
      <c r="AO114" s="50">
        <f t="shared" si="137"/>
        <v>5.1572993380049432E-4</v>
      </c>
      <c r="AP114" s="50" t="str">
        <f t="shared" si="115"/>
        <v>1-0.00148281308071256i</v>
      </c>
      <c r="AQ114" s="50">
        <f t="shared" si="138"/>
        <v>1.0000010993667119</v>
      </c>
      <c r="AR114" s="50">
        <f t="shared" si="139"/>
        <v>-1.4828119939431692E-3</v>
      </c>
      <c r="AS114" s="59" t="str">
        <f t="shared" si="140"/>
        <v>90.9186628781771-38.9248348593529i</v>
      </c>
      <c r="AT114" s="50">
        <f t="shared" si="141"/>
        <v>39.903986229343865</v>
      </c>
      <c r="AU114" s="61">
        <f t="shared" si="142"/>
        <v>-23.177127974203774</v>
      </c>
      <c r="AV114" s="32" t="str">
        <f t="shared" si="116"/>
        <v>-0.0000333333333333333</v>
      </c>
      <c r="AW114" s="32" t="str">
        <f t="shared" si="117"/>
        <v>0.000027505598907982i</v>
      </c>
      <c r="AX114" s="32">
        <f t="shared" si="143"/>
        <v>2.7505598907982E-5</v>
      </c>
      <c r="AY114" s="32">
        <f t="shared" si="144"/>
        <v>1.5707963267948966</v>
      </c>
      <c r="AZ114" s="32" t="str">
        <f t="shared" si="118"/>
        <v>1+0.0112219023322496i</v>
      </c>
      <c r="BA114" s="32">
        <f t="shared" si="145"/>
        <v>1.0000629635637721</v>
      </c>
      <c r="BB114" s="32">
        <f t="shared" si="146"/>
        <v>1.1221431305701052E-2</v>
      </c>
      <c r="BC114" s="32" t="str">
        <f t="shared" si="119"/>
        <v>1+0.538651311947981i</v>
      </c>
      <c r="BD114" s="32">
        <f t="shared" si="147"/>
        <v>1.1358456038842961</v>
      </c>
      <c r="BE114" s="32">
        <f t="shared" si="148"/>
        <v>0.49408847524316546</v>
      </c>
      <c r="BF114" s="59" t="str">
        <f t="shared" si="149"/>
        <v>-0.639097758462153+1.21904637115867i</v>
      </c>
      <c r="BG114" s="50">
        <f t="shared" si="150"/>
        <v>2.7749919435800141</v>
      </c>
      <c r="BH114" s="61">
        <f t="shared" si="151"/>
        <v>117.66624368357481</v>
      </c>
      <c r="BI114" s="59" t="str">
        <f t="shared" si="152"/>
        <v>-1.32389182323025+23.2903966245174i</v>
      </c>
      <c r="BJ114" s="64">
        <f t="shared" si="153"/>
        <v>27.357547582887669</v>
      </c>
      <c r="BK114" s="61">
        <f t="shared" si="154"/>
        <v>93.25335272004277</v>
      </c>
      <c r="BL114" s="59" t="str">
        <f t="shared" ref="BL114:BL177" si="158">IMPRODUCT(AS114,BF114)</f>
        <v>-10.6547349645745+135.710840759362i</v>
      </c>
      <c r="BM114" s="64">
        <f t="shared" si="155"/>
        <v>42.678978172923863</v>
      </c>
      <c r="BN114" s="61">
        <f t="shared" ref="BN114:BN177" si="159">(180/PI())*IMARGUMENT(BL114)</f>
        <v>94.489115709371049</v>
      </c>
      <c r="BO114" s="50">
        <f t="shared" si="156"/>
        <v>27.357547582887669</v>
      </c>
      <c r="BP114" s="61">
        <f t="shared" si="157"/>
        <v>93.25335272004277</v>
      </c>
    </row>
    <row r="115" spans="14:68" x14ac:dyDescent="0.25">
      <c r="N115" s="11">
        <v>97</v>
      </c>
      <c r="O115" s="51">
        <f t="shared" si="120"/>
        <v>93.325430079699174</v>
      </c>
      <c r="P115" s="49" t="str">
        <f t="shared" si="107"/>
        <v>37.1583961085025</v>
      </c>
      <c r="Q115" s="18" t="str">
        <f t="shared" si="108"/>
        <v>1+0.459611220795046i</v>
      </c>
      <c r="R115" s="18">
        <f t="shared" si="121"/>
        <v>1.1005646161315166</v>
      </c>
      <c r="S115" s="18">
        <f t="shared" si="122"/>
        <v>0.43081781253629603</v>
      </c>
      <c r="T115" s="18" t="str">
        <f t="shared" si="109"/>
        <v>1+0.000527742873956684i</v>
      </c>
      <c r="U115" s="18">
        <f t="shared" si="123"/>
        <v>1.0000001392562607</v>
      </c>
      <c r="V115" s="18">
        <f t="shared" si="124"/>
        <v>5.277428249623559E-4</v>
      </c>
      <c r="W115" s="32" t="str">
        <f t="shared" si="110"/>
        <v>1-0.00461927718089978i</v>
      </c>
      <c r="X115" s="18">
        <f t="shared" si="125"/>
        <v>1.0000106688039254</v>
      </c>
      <c r="Y115" s="18">
        <f t="shared" si="126"/>
        <v>-4.6192443263701304E-3</v>
      </c>
      <c r="Z115" s="32" t="str">
        <f t="shared" si="111"/>
        <v>0.999999782259102+0.00111216924178279i</v>
      </c>
      <c r="AA115" s="18">
        <f t="shared" si="127"/>
        <v>1.0000004007192567</v>
      </c>
      <c r="AB115" s="18">
        <f t="shared" si="128"/>
        <v>1.1121690253926635E-3</v>
      </c>
      <c r="AC115" s="32" t="str">
        <f>IMDIV(IMSUM(COMPLEX(0,2*PI()*O115*Constants!$B$61*Constants!$B$62),COMPLEX(1,0)),IMSUM(COMPLEX(0,2*PI()*O115*Constants!$B$61*Constants!$B$62),COMPLEX(2,0)))</f>
        <v>0.500000687684341+0.000586380164572959i</v>
      </c>
      <c r="AD115" s="18">
        <f t="shared" si="129"/>
        <v>0.50000103152544739</v>
      </c>
      <c r="AE115" s="18">
        <f t="shared" si="130"/>
        <v>1.172758178514434E-3</v>
      </c>
      <c r="AF115" s="66" t="str">
        <f t="shared" si="131"/>
        <v>15.3106071345906-7.11181868621297i</v>
      </c>
      <c r="AG115" s="64">
        <f t="shared" si="132"/>
        <v>24.548336685608113</v>
      </c>
      <c r="AH115" s="61">
        <f t="shared" si="133"/>
        <v>-24.914996662531998</v>
      </c>
      <c r="AI115" s="50" t="str">
        <f t="shared" si="112"/>
        <v>107.538871525172</v>
      </c>
      <c r="AJ115" s="50" t="str">
        <f t="shared" si="113"/>
        <v>1+0.436929976814788i</v>
      </c>
      <c r="AK115" s="50">
        <f t="shared" si="134"/>
        <v>1.091287223713066</v>
      </c>
      <c r="AL115" s="50">
        <f t="shared" si="135"/>
        <v>0.41193189577482031</v>
      </c>
      <c r="AM115" s="50" t="str">
        <f t="shared" si="114"/>
        <v>1+0.000527742873956684i</v>
      </c>
      <c r="AN115" s="50">
        <f t="shared" si="136"/>
        <v>1.0000001392562607</v>
      </c>
      <c r="AO115" s="50">
        <f t="shared" si="137"/>
        <v>5.277428249623559E-4</v>
      </c>
      <c r="AP115" s="50" t="str">
        <f t="shared" si="115"/>
        <v>1-0.0015173522343554i</v>
      </c>
      <c r="AQ115" s="50">
        <f t="shared" si="138"/>
        <v>1.000001151178239</v>
      </c>
      <c r="AR115" s="50">
        <f t="shared" si="139"/>
        <v>-1.5173510698610897E-3</v>
      </c>
      <c r="AS115" s="59" t="str">
        <f t="shared" si="140"/>
        <v>90.2609408456366-39.544132264833i</v>
      </c>
      <c r="AT115" s="50">
        <f t="shared" si="141"/>
        <v>39.8725392909448</v>
      </c>
      <c r="AU115" s="61">
        <f t="shared" si="142"/>
        <v>-23.658659450524173</v>
      </c>
      <c r="AV115" s="32" t="str">
        <f t="shared" si="116"/>
        <v>-0.0000333333333333333</v>
      </c>
      <c r="AW115" s="32" t="str">
        <f t="shared" si="117"/>
        <v>0.0000281462866110231i</v>
      </c>
      <c r="AX115" s="32">
        <f t="shared" si="143"/>
        <v>2.81462866110231E-5</v>
      </c>
      <c r="AY115" s="32">
        <f t="shared" si="144"/>
        <v>1.5707963267948966</v>
      </c>
      <c r="AZ115" s="32" t="str">
        <f t="shared" si="118"/>
        <v>1+0.0114832940166501i</v>
      </c>
      <c r="BA115" s="32">
        <f t="shared" si="145"/>
        <v>1.0000659308472981</v>
      </c>
      <c r="BB115" s="32">
        <f t="shared" si="146"/>
        <v>1.1482789304407126E-2</v>
      </c>
      <c r="BC115" s="32" t="str">
        <f t="shared" si="119"/>
        <v>1+0.551198112799204i</v>
      </c>
      <c r="BD115" s="32">
        <f t="shared" si="147"/>
        <v>1.1418490966644428</v>
      </c>
      <c r="BE115" s="32">
        <f t="shared" si="148"/>
        <v>0.50376260180535504</v>
      </c>
      <c r="BF115" s="59" t="str">
        <f t="shared" si="149"/>
        <v>-0.639093965949323+1.19162775146359i</v>
      </c>
      <c r="BG115" s="50">
        <f t="shared" si="150"/>
        <v>2.6207543947893281</v>
      </c>
      <c r="BH115" s="61">
        <f t="shared" si="151"/>
        <v>118.20555559579569</v>
      </c>
      <c r="BI115" s="59" t="str">
        <f t="shared" si="152"/>
        <v>-1.3102761248688+22.7896647626189i</v>
      </c>
      <c r="BJ115" s="64">
        <f t="shared" si="153"/>
        <v>27.169091080397422</v>
      </c>
      <c r="BK115" s="61">
        <f t="shared" si="154"/>
        <v>93.290558933263696</v>
      </c>
      <c r="BL115" s="59" t="str">
        <f t="shared" si="158"/>
        <v>-10.5633372410334+132.829858304031i</v>
      </c>
      <c r="BM115" s="64">
        <f t="shared" si="155"/>
        <v>42.493293685734145</v>
      </c>
      <c r="BN115" s="61">
        <f t="shared" si="159"/>
        <v>94.546896145271532</v>
      </c>
      <c r="BO115" s="50">
        <f t="shared" si="156"/>
        <v>27.169091080397422</v>
      </c>
      <c r="BP115" s="61">
        <f t="shared" si="157"/>
        <v>93.290558933263696</v>
      </c>
    </row>
    <row r="116" spans="14:68" x14ac:dyDescent="0.25">
      <c r="N116" s="11">
        <v>98</v>
      </c>
      <c r="O116" s="51">
        <f t="shared" si="120"/>
        <v>95.499258602143655</v>
      </c>
      <c r="P116" s="49" t="str">
        <f t="shared" si="107"/>
        <v>37.1583961085025</v>
      </c>
      <c r="Q116" s="18" t="str">
        <f t="shared" si="108"/>
        <v>1+0.470316941413173i</v>
      </c>
      <c r="R116" s="18">
        <f t="shared" si="121"/>
        <v>1.1050782892538618</v>
      </c>
      <c r="S116" s="18">
        <f t="shared" si="122"/>
        <v>0.43962045214709744</v>
      </c>
      <c r="T116" s="18" t="str">
        <f t="shared" si="109"/>
        <v>1+0.00054003558464598i</v>
      </c>
      <c r="U116" s="18">
        <f t="shared" si="123"/>
        <v>1.0000001458192058</v>
      </c>
      <c r="V116" s="18">
        <f t="shared" si="124"/>
        <v>5.4003553214761202E-4</v>
      </c>
      <c r="W116" s="32" t="str">
        <f t="shared" si="110"/>
        <v>1-0.00472687396861714i</v>
      </c>
      <c r="X116" s="18">
        <f t="shared" si="125"/>
        <v>1.0000111716063553</v>
      </c>
      <c r="Y116" s="18">
        <f t="shared" si="126"/>
        <v>-4.7268387643755964E-3</v>
      </c>
      <c r="Z116" s="32" t="str">
        <f t="shared" si="111"/>
        <v>0.99999977199729+0.00113807499134653i</v>
      </c>
      <c r="AA116" s="18">
        <f t="shared" si="127"/>
        <v>1.0000004196045709</v>
      </c>
      <c r="AB116" s="18">
        <f t="shared" si="128"/>
        <v>1.1380747594803362E-3</v>
      </c>
      <c r="AC116" s="32" t="str">
        <f>IMDIV(IMSUM(COMPLEX(0,2*PI()*O116*Constants!$B$61*Constants!$B$62),COMPLEX(1,0)),IMSUM(COMPLEX(0,2*PI()*O116*Constants!$B$61*Constants!$B$62),COMPLEX(2,0)))</f>
        <v>0.500000720093858+0.00060003867432596i</v>
      </c>
      <c r="AD116" s="18">
        <f t="shared" si="129"/>
        <v>0.50000108013962052</v>
      </c>
      <c r="AE116" s="18">
        <f t="shared" si="130"/>
        <v>1.2000750442093511E-3</v>
      </c>
      <c r="AF116" s="66" t="str">
        <f t="shared" si="131"/>
        <v>15.1844654726474-7.21814767238635i</v>
      </c>
      <c r="AG116" s="64">
        <f t="shared" si="132"/>
        <v>24.512791773383174</v>
      </c>
      <c r="AH116" s="61">
        <f t="shared" si="133"/>
        <v>-25.424730295876451</v>
      </c>
      <c r="AI116" s="50" t="str">
        <f t="shared" si="112"/>
        <v>107.538871525172</v>
      </c>
      <c r="AJ116" s="50" t="str">
        <f t="shared" si="113"/>
        <v>1+0.447107383391965i</v>
      </c>
      <c r="AK116" s="50">
        <f t="shared" si="134"/>
        <v>1.0954017583898656</v>
      </c>
      <c r="AL116" s="50">
        <f t="shared" si="135"/>
        <v>0.42044582169057604</v>
      </c>
      <c r="AM116" s="50" t="str">
        <f t="shared" si="114"/>
        <v>1+0.00054003558464598i</v>
      </c>
      <c r="AN116" s="50">
        <f t="shared" si="136"/>
        <v>1.0000001458192058</v>
      </c>
      <c r="AO116" s="50">
        <f t="shared" si="137"/>
        <v>5.4003553214761202E-4</v>
      </c>
      <c r="AP116" s="50" t="str">
        <f t="shared" si="115"/>
        <v>1-0.00155269590823742i</v>
      </c>
      <c r="AQ116" s="50">
        <f t="shared" si="138"/>
        <v>1.0000012054315652</v>
      </c>
      <c r="AR116" s="50">
        <f t="shared" si="139"/>
        <v>-1.5526946604593667E-3</v>
      </c>
      <c r="AS116" s="59" t="str">
        <f t="shared" si="140"/>
        <v>89.5823173063438-40.1618158374655i</v>
      </c>
      <c r="AT116" s="50">
        <f t="shared" si="141"/>
        <v>39.839852558598842</v>
      </c>
      <c r="AU116" s="61">
        <f t="shared" si="142"/>
        <v>-24.147792190917652</v>
      </c>
      <c r="AV116" s="32" t="str">
        <f t="shared" si="116"/>
        <v>-0.0000333333333333333</v>
      </c>
      <c r="AW116" s="32" t="str">
        <f t="shared" si="117"/>
        <v>0.0000288018978477856i</v>
      </c>
      <c r="AX116" s="32">
        <f t="shared" si="143"/>
        <v>2.8801897847785598E-5</v>
      </c>
      <c r="AY116" s="32">
        <f t="shared" si="144"/>
        <v>1.5707963267948966</v>
      </c>
      <c r="AZ116" s="32" t="str">
        <f t="shared" si="118"/>
        <v>1+0.0117507742955375i</v>
      </c>
      <c r="BA116" s="32">
        <f t="shared" si="145"/>
        <v>1.000069037965152</v>
      </c>
      <c r="BB116" s="32">
        <f t="shared" si="146"/>
        <v>1.1750233488641898E-2</v>
      </c>
      <c r="BC116" s="32" t="str">
        <f t="shared" si="119"/>
        <v>1+0.564037166185802i</v>
      </c>
      <c r="BD116" s="32">
        <f t="shared" si="147"/>
        <v>1.1481018791200153</v>
      </c>
      <c r="BE116" s="32">
        <f t="shared" si="148"/>
        <v>0.51355639224636995</v>
      </c>
      <c r="BF116" s="59" t="str">
        <f t="shared" si="149"/>
        <v>-0.639089994749113+1.16484094446991i</v>
      </c>
      <c r="BG116" s="50">
        <f t="shared" si="150"/>
        <v>2.468161710739472</v>
      </c>
      <c r="BH116" s="61">
        <f t="shared" si="151"/>
        <v>118.7513750304897</v>
      </c>
      <c r="BI116" s="59" t="str">
        <f t="shared" si="152"/>
        <v>-1.29624600715652+22.3005330604731i</v>
      </c>
      <c r="BJ116" s="64">
        <f t="shared" si="153"/>
        <v>26.980953484122669</v>
      </c>
      <c r="BK116" s="61">
        <f t="shared" si="154"/>
        <v>93.32664473461324</v>
      </c>
      <c r="BL116" s="59" t="str">
        <f t="shared" si="158"/>
        <v>-10.4690352051847+130.016165771605i</v>
      </c>
      <c r="BM116" s="64">
        <f t="shared" si="155"/>
        <v>42.308014269338294</v>
      </c>
      <c r="BN116" s="61">
        <f t="shared" si="159"/>
        <v>94.603582839572027</v>
      </c>
      <c r="BO116" s="50">
        <f t="shared" si="156"/>
        <v>26.980953484122669</v>
      </c>
      <c r="BP116" s="61">
        <f t="shared" si="157"/>
        <v>93.32664473461324</v>
      </c>
    </row>
    <row r="117" spans="14:68" x14ac:dyDescent="0.25">
      <c r="N117" s="11">
        <v>99</v>
      </c>
      <c r="O117" s="51">
        <f t="shared" si="120"/>
        <v>97.723722095581124</v>
      </c>
      <c r="P117" s="49" t="str">
        <f t="shared" si="107"/>
        <v>37.1583961085025</v>
      </c>
      <c r="Q117" s="18" t="str">
        <f t="shared" si="108"/>
        <v>1+0.481272030299017i</v>
      </c>
      <c r="R117" s="18">
        <f t="shared" si="121"/>
        <v>1.1097850094266628</v>
      </c>
      <c r="S117" s="18">
        <f t="shared" si="122"/>
        <v>0.44855329678135686</v>
      </c>
      <c r="T117" s="18" t="str">
        <f t="shared" si="109"/>
        <v>1+0.000552614629350471i</v>
      </c>
      <c r="U117" s="18">
        <f t="shared" si="123"/>
        <v>1.0000001526914526</v>
      </c>
      <c r="V117" s="18">
        <f t="shared" si="124"/>
        <v>5.5261457309745674E-4</v>
      </c>
      <c r="W117" s="32" t="str">
        <f t="shared" si="110"/>
        <v>1-0.00483697700748023i</v>
      </c>
      <c r="X117" s="18">
        <f t="shared" si="125"/>
        <v>1.0000116981048626</v>
      </c>
      <c r="Y117" s="18">
        <f t="shared" si="126"/>
        <v>-4.8369392854796219E-3</v>
      </c>
      <c r="Z117" s="32" t="str">
        <f t="shared" si="111"/>
        <v>0.999999761251854+0.00116458416333488i</v>
      </c>
      <c r="AA117" s="18">
        <f t="shared" si="127"/>
        <v>1.0000004393799224</v>
      </c>
      <c r="AB117" s="18">
        <f t="shared" si="128"/>
        <v>1.1645839148857818E-3</v>
      </c>
      <c r="AC117" s="32" t="str">
        <f>IMDIV(IMSUM(COMPLEX(0,2*PI()*O117*Constants!$B$61*Constants!$B$62),COMPLEX(1,0)),IMSUM(COMPLEX(0,2*PI()*O117*Constants!$B$61*Constants!$B$62),COMPLEX(2,0)))</f>
        <v>0.500000754030785+0.00061401532885954i</v>
      </c>
      <c r="AD117" s="18">
        <f t="shared" si="129"/>
        <v>0.50000113104489841</v>
      </c>
      <c r="AE117" s="18">
        <f t="shared" si="130"/>
        <v>1.2280281884650324E-3</v>
      </c>
      <c r="AF117" s="66" t="str">
        <f t="shared" si="131"/>
        <v>15.0545646405593-7.32376230289398i</v>
      </c>
      <c r="AG117" s="64">
        <f t="shared" si="132"/>
        <v>24.475880968102757</v>
      </c>
      <c r="AH117" s="61">
        <f t="shared" si="133"/>
        <v>-25.942049427223566</v>
      </c>
      <c r="AI117" s="50" t="str">
        <f t="shared" si="112"/>
        <v>107.538871525172</v>
      </c>
      <c r="AJ117" s="50" t="str">
        <f t="shared" si="113"/>
        <v>1+0.457521852221982i</v>
      </c>
      <c r="AK117" s="50">
        <f t="shared" si="134"/>
        <v>1.0996937052018771</v>
      </c>
      <c r="AL117" s="50">
        <f t="shared" si="135"/>
        <v>0.42909146595607611</v>
      </c>
      <c r="AM117" s="50" t="str">
        <f t="shared" si="114"/>
        <v>1+0.000552614629350471i</v>
      </c>
      <c r="AN117" s="50">
        <f t="shared" si="136"/>
        <v>1.0000001526914526</v>
      </c>
      <c r="AO117" s="50">
        <f t="shared" si="137"/>
        <v>5.5261457309745674E-4</v>
      </c>
      <c r="AP117" s="50" t="str">
        <f t="shared" si="115"/>
        <v>1-0.00158886284204236i</v>
      </c>
      <c r="AQ117" s="50">
        <f t="shared" si="138"/>
        <v>1.0000012622417687</v>
      </c>
      <c r="AR117" s="50">
        <f t="shared" si="139"/>
        <v>-1.5888615050241787E-3</v>
      </c>
      <c r="AS117" s="59" t="str">
        <f t="shared" si="140"/>
        <v>88.8825339917531-40.777138545503i</v>
      </c>
      <c r="AT117" s="50">
        <f t="shared" si="141"/>
        <v>39.805887004598539</v>
      </c>
      <c r="AU117" s="61">
        <f t="shared" si="142"/>
        <v>-24.644502600097383</v>
      </c>
      <c r="AV117" s="32" t="str">
        <f t="shared" si="116"/>
        <v>-0.0000333333333333333</v>
      </c>
      <c r="AW117" s="32" t="str">
        <f t="shared" si="117"/>
        <v>0.0000294727802320251i</v>
      </c>
      <c r="AX117" s="32">
        <f t="shared" si="143"/>
        <v>2.9472780232025101E-5</v>
      </c>
      <c r="AY117" s="32">
        <f t="shared" si="144"/>
        <v>1.5707963267948966</v>
      </c>
      <c r="AZ117" s="32" t="str">
        <f t="shared" si="118"/>
        <v>1+0.0120244849904964i</v>
      </c>
      <c r="BA117" s="32">
        <f t="shared" si="145"/>
        <v>1.0000722915066125</v>
      </c>
      <c r="BB117" s="32">
        <f t="shared" si="146"/>
        <v>1.2023905507729703E-2</v>
      </c>
      <c r="BC117" s="32" t="str">
        <f t="shared" si="119"/>
        <v>1+0.577175279543826i</v>
      </c>
      <c r="BD117" s="32">
        <f t="shared" si="147"/>
        <v>1.1546130535016887</v>
      </c>
      <c r="BE117" s="32">
        <f t="shared" si="148"/>
        <v>0.52346752341936553</v>
      </c>
      <c r="BF117" s="59" t="str">
        <f t="shared" si="149"/>
        <v>-0.639085836444896+1.13867174716449i</v>
      </c>
      <c r="BG117" s="50">
        <f t="shared" si="150"/>
        <v>2.3172541598916854</v>
      </c>
      <c r="BH117" s="61">
        <f t="shared" si="151"/>
        <v>119.30356076523813</v>
      </c>
      <c r="BI117" s="59" t="str">
        <f t="shared" si="152"/>
        <v>-1.28179781837188+21.822720179335i</v>
      </c>
      <c r="BJ117" s="64">
        <f t="shared" si="153"/>
        <v>26.793135127994439</v>
      </c>
      <c r="BK117" s="61">
        <f t="shared" si="154"/>
        <v>93.361511338014566</v>
      </c>
      <c r="BL117" s="59" t="str">
        <f t="shared" si="158"/>
        <v>-10.3717929894851+127.268121967979i</v>
      </c>
      <c r="BM117" s="64">
        <f t="shared" si="155"/>
        <v>42.123141164490228</v>
      </c>
      <c r="BN117" s="61">
        <f t="shared" si="159"/>
        <v>94.659058165140763</v>
      </c>
      <c r="BO117" s="50">
        <f t="shared" si="156"/>
        <v>26.793135127994439</v>
      </c>
      <c r="BP117" s="61">
        <f t="shared" si="157"/>
        <v>93.361511338014566</v>
      </c>
    </row>
    <row r="118" spans="14:68" x14ac:dyDescent="0.25">
      <c r="N118" s="11">
        <v>100</v>
      </c>
      <c r="O118" s="51">
        <f t="shared" si="120"/>
        <v>100</v>
      </c>
      <c r="P118" s="49" t="str">
        <f t="shared" si="107"/>
        <v>37.1583961085025</v>
      </c>
      <c r="Q118" s="18" t="str">
        <f t="shared" si="108"/>
        <v>1+0.492482295985715i</v>
      </c>
      <c r="R118" s="18">
        <f t="shared" si="121"/>
        <v>1.1146922498426914</v>
      </c>
      <c r="S118" s="18">
        <f t="shared" si="122"/>
        <v>0.45761537933004964</v>
      </c>
      <c r="T118" s="18" t="str">
        <f t="shared" si="109"/>
        <v>1+0.000565486677646164i</v>
      </c>
      <c r="U118" s="18">
        <f t="shared" si="123"/>
        <v>1.0000001598875785</v>
      </c>
      <c r="V118" s="18">
        <f t="shared" si="124"/>
        <v>5.6548661736997375E-4</v>
      </c>
      <c r="W118" s="32" t="str">
        <f t="shared" si="110"/>
        <v>1-0.00494964467557766i</v>
      </c>
      <c r="X118" s="18">
        <f t="shared" si="125"/>
        <v>1.0000122494161832</v>
      </c>
      <c r="Y118" s="18">
        <f t="shared" si="126"/>
        <v>-4.9496042557525171E-3</v>
      </c>
      <c r="Z118" s="32" t="str">
        <f t="shared" si="111"/>
        <v>0.99999975+0.00119171081326173i</v>
      </c>
      <c r="AA118" s="18">
        <f t="shared" si="127"/>
        <v>1.0000004600872567</v>
      </c>
      <c r="AB118" s="18">
        <f t="shared" si="128"/>
        <v>1.1917105470437316E-3</v>
      </c>
      <c r="AC118" s="32" t="str">
        <f>IMDIV(IMSUM(COMPLEX(0,2*PI()*O118*Constants!$B$61*Constants!$B$62),COMPLEX(1,0)),IMSUM(COMPLEX(0,2*PI()*O118*Constants!$B$61*Constants!$B$62),COMPLEX(2,0)))</f>
        <v>0.500000789567105+0.000628317538518671i</v>
      </c>
      <c r="AD118" s="18">
        <f t="shared" si="129"/>
        <v>0.500001184349255</v>
      </c>
      <c r="AE118" s="18">
        <f t="shared" si="130"/>
        <v>1.2566324311846942E-3</v>
      </c>
      <c r="AF118" s="66" t="str">
        <f t="shared" si="131"/>
        <v>14.9208779832542-7.42851634013207i</v>
      </c>
      <c r="AG118" s="64">
        <f t="shared" si="132"/>
        <v>24.437564017709402</v>
      </c>
      <c r="AH118" s="61">
        <f t="shared" si="133"/>
        <v>-26.466901563498929</v>
      </c>
      <c r="AI118" s="50" t="str">
        <f t="shared" si="112"/>
        <v>107.538871525172</v>
      </c>
      <c r="AJ118" s="50" t="str">
        <f t="shared" si="113"/>
        <v>1+0.468178905194065i</v>
      </c>
      <c r="AK118" s="50">
        <f t="shared" si="134"/>
        <v>1.1041700445441875</v>
      </c>
      <c r="AL118" s="50">
        <f t="shared" si="135"/>
        <v>0.43786824167021982</v>
      </c>
      <c r="AM118" s="50" t="str">
        <f t="shared" si="114"/>
        <v>1+0.000565486677646164i</v>
      </c>
      <c r="AN118" s="50">
        <f t="shared" si="136"/>
        <v>1.0000001598875785</v>
      </c>
      <c r="AO118" s="50">
        <f t="shared" si="137"/>
        <v>5.6548661736997375E-4</v>
      </c>
      <c r="AP118" s="50" t="str">
        <f t="shared" si="115"/>
        <v>1-0.00162587221195723i</v>
      </c>
      <c r="AQ118" s="50">
        <f t="shared" si="138"/>
        <v>1.0000013217293513</v>
      </c>
      <c r="AR118" s="50">
        <f t="shared" si="139"/>
        <v>-1.6258707793165394E-3</v>
      </c>
      <c r="AS118" s="59" t="str">
        <f t="shared" si="140"/>
        <v>88.16136253585-41.3893228561927i</v>
      </c>
      <c r="AT118" s="50">
        <f t="shared" si="141"/>
        <v>39.77060314938192</v>
      </c>
      <c r="AU118" s="61">
        <f t="shared" si="142"/>
        <v>-25.14875776765999</v>
      </c>
      <c r="AV118" s="32" t="str">
        <f t="shared" si="116"/>
        <v>-0.0000333333333333333</v>
      </c>
      <c r="AW118" s="32" t="str">
        <f t="shared" si="117"/>
        <v>0.000030159289474462i</v>
      </c>
      <c r="AX118" s="32">
        <f t="shared" si="143"/>
        <v>3.0159289474462E-5</v>
      </c>
      <c r="AY118" s="32">
        <f t="shared" si="144"/>
        <v>1.5707963267948966</v>
      </c>
      <c r="AZ118" s="32" t="str">
        <f t="shared" si="118"/>
        <v>1+0.01230457122656i</v>
      </c>
      <c r="BA118" s="32">
        <f t="shared" si="145"/>
        <v>1.000075698371413</v>
      </c>
      <c r="BB118" s="32">
        <f t="shared" si="146"/>
        <v>1.23039503021268E-2</v>
      </c>
      <c r="BC118" s="32" t="str">
        <f t="shared" si="119"/>
        <v>1+0.590619418874883i</v>
      </c>
      <c r="BD118" s="32">
        <f t="shared" si="147"/>
        <v>1.1613919656826046</v>
      </c>
      <c r="BE118" s="32">
        <f t="shared" si="148"/>
        <v>0.53349346108487783</v>
      </c>
      <c r="BF118" s="59" t="str">
        <f t="shared" si="149"/>
        <v>-0.639081482223839+1.11310628397798i</v>
      </c>
      <c r="BG118" s="50">
        <f t="shared" si="150"/>
        <v>2.1680716547247201</v>
      </c>
      <c r="BH118" s="61">
        <f t="shared" si="151"/>
        <v>119.86195929433974</v>
      </c>
      <c r="BI118" s="59" t="str">
        <f t="shared" si="152"/>
        <v>-1.26692859878503+21.3559502790045i</v>
      </c>
      <c r="BJ118" s="64">
        <f t="shared" si="153"/>
        <v>26.605635672434097</v>
      </c>
      <c r="BK118" s="61">
        <f t="shared" si="154"/>
        <v>93.395057730840804</v>
      </c>
      <c r="BL118" s="59" t="str">
        <f t="shared" si="158"/>
        <v>-10.2715788834627+124.584116441892i</v>
      </c>
      <c r="BM118" s="64">
        <f t="shared" si="155"/>
        <v>41.938674804106633</v>
      </c>
      <c r="BN118" s="61">
        <f t="shared" si="159"/>
        <v>94.713201526679725</v>
      </c>
      <c r="BO118" s="50">
        <f t="shared" si="156"/>
        <v>26.605635672434097</v>
      </c>
      <c r="BP118" s="61">
        <f t="shared" si="157"/>
        <v>93.395057730840804</v>
      </c>
    </row>
    <row r="119" spans="14:68" x14ac:dyDescent="0.25">
      <c r="N119" s="11">
        <v>1</v>
      </c>
      <c r="O119" s="51">
        <f>10^(2+(N119/100))</f>
        <v>102.32929922807544</v>
      </c>
      <c r="P119" s="49" t="str">
        <f t="shared" si="107"/>
        <v>37.1583961085025</v>
      </c>
      <c r="Q119" s="18" t="str">
        <f t="shared" si="108"/>
        <v>1+0.503953682304518i</v>
      </c>
      <c r="R119" s="18">
        <f t="shared" si="121"/>
        <v>1.1198077129169468</v>
      </c>
      <c r="S119" s="18">
        <f t="shared" si="122"/>
        <v>0.46680555013176989</v>
      </c>
      <c r="T119" s="18" t="str">
        <f t="shared" si="109"/>
        <v>1+0.000578658554463445i</v>
      </c>
      <c r="U119" s="18">
        <f t="shared" si="123"/>
        <v>1.0000001674228474</v>
      </c>
      <c r="V119" s="18">
        <f t="shared" si="124"/>
        <v>5.7865848987634404E-4</v>
      </c>
      <c r="W119" s="32" t="str">
        <f t="shared" si="110"/>
        <v>1-0.00506493671079836i</v>
      </c>
      <c r="X119" s="18">
        <f t="shared" si="125"/>
        <v>1.0000128267096799</v>
      </c>
      <c r="Y119" s="18">
        <f t="shared" si="126"/>
        <v>-5.0648934002054079E-3</v>
      </c>
      <c r="Z119" s="32" t="str">
        <f t="shared" si="111"/>
        <v>0.999999738217863+0.00121946932403592i</v>
      </c>
      <c r="AA119" s="18">
        <f t="shared" si="127"/>
        <v>1.0000004817704975</v>
      </c>
      <c r="AB119" s="18">
        <f t="shared" si="128"/>
        <v>1.2194690387782017E-3</v>
      </c>
      <c r="AC119" s="32" t="str">
        <f>IMDIV(IMSUM(COMPLEX(0,2*PI()*O119*Constants!$B$61*Constants!$B$62),COMPLEX(1,0)),IMSUM(COMPLEX(0,2*PI()*O119*Constants!$B$61*Constants!$B$62),COMPLEX(2,0)))</f>
        <v>0.500000826778195+0.000642952886243216i</v>
      </c>
      <c r="AD119" s="18">
        <f t="shared" si="129"/>
        <v>0.50000124016575453</v>
      </c>
      <c r="AE119" s="18">
        <f t="shared" si="130"/>
        <v>1.2859029374050631E-3</v>
      </c>
      <c r="AF119" s="66" t="str">
        <f t="shared" si="131"/>
        <v>14.7833855287223-7.53225889627535i</v>
      </c>
      <c r="AG119" s="64">
        <f t="shared" si="132"/>
        <v>24.397800421480781</v>
      </c>
      <c r="AH119" s="61">
        <f t="shared" si="133"/>
        <v>-26.99922382009121</v>
      </c>
      <c r="AI119" s="50" t="str">
        <f t="shared" si="112"/>
        <v>107.538871525172</v>
      </c>
      <c r="AJ119" s="50" t="str">
        <f t="shared" si="113"/>
        <v>1+0.479084192818762i</v>
      </c>
      <c r="AK119" s="50">
        <f t="shared" si="134"/>
        <v>1.1088379790613256</v>
      </c>
      <c r="AL119" s="50">
        <f t="shared" si="135"/>
        <v>0.44677539264650606</v>
      </c>
      <c r="AM119" s="50" t="str">
        <f t="shared" si="114"/>
        <v>1+0.000578658554463445i</v>
      </c>
      <c r="AN119" s="50">
        <f t="shared" si="136"/>
        <v>1.0000001674228474</v>
      </c>
      <c r="AO119" s="50">
        <f t="shared" si="137"/>
        <v>5.7865848987634404E-4</v>
      </c>
      <c r="AP119" s="50" t="str">
        <f t="shared" si="115"/>
        <v>1-0.00166374364083984i</v>
      </c>
      <c r="AQ119" s="50">
        <f t="shared" si="138"/>
        <v>1.0000013840204935</v>
      </c>
      <c r="AR119" s="50">
        <f t="shared" si="139"/>
        <v>-1.6637421057377974E-3</v>
      </c>
      <c r="AS119" s="59" t="str">
        <f t="shared" si="140"/>
        <v>87.4186071291003-41.9975616594832i</v>
      </c>
      <c r="AT119" s="50">
        <f t="shared" si="141"/>
        <v>39.733961119480703</v>
      </c>
      <c r="AU119" s="61">
        <f t="shared" si="142"/>
        <v>-25.660515100552651</v>
      </c>
      <c r="AV119" s="32" t="str">
        <f t="shared" si="116"/>
        <v>-0.0000333333333333333</v>
      </c>
      <c r="AW119" s="32" t="str">
        <f t="shared" si="117"/>
        <v>0.0000308617895713837i</v>
      </c>
      <c r="AX119" s="32">
        <f t="shared" si="143"/>
        <v>3.0861789571383699E-5</v>
      </c>
      <c r="AY119" s="32">
        <f t="shared" si="144"/>
        <v>1.5707963267948966</v>
      </c>
      <c r="AZ119" s="32" t="str">
        <f t="shared" si="118"/>
        <v>1+0.0125911815091583i</v>
      </c>
      <c r="BA119" s="32">
        <f t="shared" si="145"/>
        <v>1.000079265784366</v>
      </c>
      <c r="BB119" s="32">
        <f t="shared" si="146"/>
        <v>1.2590516179489102E-2</v>
      </c>
      <c r="BC119" s="32" t="str">
        <f t="shared" si="119"/>
        <v>1+0.604376712439599i</v>
      </c>
      <c r="BD119" s="32">
        <f t="shared" si="147"/>
        <v>1.1684482061860071</v>
      </c>
      <c r="BE119" s="32">
        <f t="shared" si="148"/>
        <v>0.54363145813748137</v>
      </c>
      <c r="BF119" s="59" t="str">
        <f t="shared" si="149"/>
        <v>-0.639076922858259+1.08813099942641i</v>
      </c>
      <c r="BG119" s="50">
        <f t="shared" si="150"/>
        <v>2.0206536479542394</v>
      </c>
      <c r="BH119" s="61">
        <f t="shared" si="151"/>
        <v>120.42640472284468</v>
      </c>
      <c r="BI119" s="59" t="str">
        <f t="shared" si="152"/>
        <v>-1.2516361323806+20.8999529078779i</v>
      </c>
      <c r="BJ119" s="64">
        <f t="shared" si="153"/>
        <v>26.418454069435015</v>
      </c>
      <c r="BK119" s="61">
        <f t="shared" si="154"/>
        <v>93.427180902753463</v>
      </c>
      <c r="BL119" s="59" t="str">
        <f t="shared" si="158"/>
        <v>-10.1683657026148+121.962568816745i</v>
      </c>
      <c r="BM119" s="64">
        <f t="shared" si="155"/>
        <v>41.754614767434937</v>
      </c>
      <c r="BN119" s="61">
        <f t="shared" si="159"/>
        <v>94.76588962229205</v>
      </c>
      <c r="BO119" s="50">
        <f t="shared" si="156"/>
        <v>26.418454069435015</v>
      </c>
      <c r="BP119" s="61">
        <f t="shared" si="157"/>
        <v>93.427180902753463</v>
      </c>
    </row>
    <row r="120" spans="14:68" x14ac:dyDescent="0.25">
      <c r="N120" s="11">
        <v>2</v>
      </c>
      <c r="O120" s="51">
        <f t="shared" ref="O120:O183" si="160">10^(2+(N120/100))</f>
        <v>104.71285480508998</v>
      </c>
      <c r="P120" s="49" t="str">
        <f t="shared" si="107"/>
        <v>37.1583961085025</v>
      </c>
      <c r="Q120" s="18" t="str">
        <f t="shared" si="108"/>
        <v>1+0.515692271536295i</v>
      </c>
      <c r="R120" s="18">
        <f t="shared" si="121"/>
        <v>1.1251393331149098</v>
      </c>
      <c r="S120" s="18">
        <f t="shared" si="122"/>
        <v>0.47612247143409192</v>
      </c>
      <c r="T120" s="18" t="str">
        <f t="shared" si="109"/>
        <v>1+0.000592137243705754i</v>
      </c>
      <c r="U120" s="18">
        <f t="shared" si="123"/>
        <v>1.0000001753132424</v>
      </c>
      <c r="V120" s="18">
        <f t="shared" si="124"/>
        <v>5.9213717449942908E-4</v>
      </c>
      <c r="W120" s="32" t="str">
        <f t="shared" si="110"/>
        <v>1-0.0051829142425055i</v>
      </c>
      <c r="X120" s="18">
        <f t="shared" si="125"/>
        <v>1.0000134312098239</v>
      </c>
      <c r="Y120" s="18">
        <f t="shared" si="126"/>
        <v>-5.1828678344026952E-3</v>
      </c>
      <c r="Z120" s="32" t="str">
        <f t="shared" si="111"/>
        <v>0.999999725880451+0.00124787441358731i</v>
      </c>
      <c r="AA120" s="18">
        <f t="shared" si="127"/>
        <v>1.0000005044756373</v>
      </c>
      <c r="AB120" s="18">
        <f t="shared" si="128"/>
        <v>1.2478741079281653E-3</v>
      </c>
      <c r="AC120" s="32" t="str">
        <f>IMDIV(IMSUM(COMPLEX(0,2*PI()*O120*Constants!$B$61*Constants!$B$62),COMPLEX(1,0)),IMSUM(COMPLEX(0,2*PI()*O120*Constants!$B$61*Constants!$B$62),COMPLEX(2,0)))</f>
        <v>0.500000865742983+0.000657929131587139i</v>
      </c>
      <c r="AD120" s="18">
        <f t="shared" si="129"/>
        <v>0.5000012986127883</v>
      </c>
      <c r="AE120" s="18">
        <f t="shared" si="130"/>
        <v>1.3158552253307837E-3</v>
      </c>
      <c r="AF120" s="66" t="str">
        <f t="shared" si="131"/>
        <v>14.642074448843-7.63483472474794i</v>
      </c>
      <c r="AG120" s="64">
        <f t="shared" si="132"/>
        <v>24.35654950383676</v>
      </c>
      <c r="AH120" s="61">
        <f t="shared" si="133"/>
        <v>-27.538942605091481</v>
      </c>
      <c r="AI120" s="50" t="str">
        <f t="shared" si="112"/>
        <v>107.538871525172</v>
      </c>
      <c r="AJ120" s="50" t="str">
        <f t="shared" si="113"/>
        <v>1+0.490243497223921i</v>
      </c>
      <c r="AK120" s="50">
        <f t="shared" si="134"/>
        <v>1.1137049369426091</v>
      </c>
      <c r="AL120" s="50">
        <f t="shared" si="135"/>
        <v>0.45581198721289207</v>
      </c>
      <c r="AM120" s="50" t="str">
        <f t="shared" si="114"/>
        <v>1+0.000592137243705754i</v>
      </c>
      <c r="AN120" s="50">
        <f t="shared" si="136"/>
        <v>1.0000001753132424</v>
      </c>
      <c r="AO120" s="50">
        <f t="shared" si="137"/>
        <v>5.9213717449942908E-4</v>
      </c>
      <c r="AP120" s="50" t="str">
        <f t="shared" si="115"/>
        <v>1-0.00170249720862308i</v>
      </c>
      <c r="AQ120" s="50">
        <f t="shared" si="138"/>
        <v>1.0000014492473226</v>
      </c>
      <c r="AR120" s="50">
        <f t="shared" si="139"/>
        <v>-1.7024955637317345E-3</v>
      </c>
      <c r="AS120" s="59" t="str">
        <f t="shared" si="140"/>
        <v>86.6541071923862-42.6010194164259i</v>
      </c>
      <c r="AT120" s="50">
        <f t="shared" si="141"/>
        <v>39.695920710413134</v>
      </c>
      <c r="AU120" s="61">
        <f t="shared" si="142"/>
        <v>-26.179721968219731</v>
      </c>
      <c r="AV120" s="32" t="str">
        <f t="shared" si="116"/>
        <v>-0.0000333333333333333</v>
      </c>
      <c r="AW120" s="32" t="str">
        <f t="shared" si="117"/>
        <v>0.0000315806529976402i</v>
      </c>
      <c r="AX120" s="32">
        <f t="shared" si="143"/>
        <v>3.1580652997640199E-5</v>
      </c>
      <c r="AY120" s="32">
        <f t="shared" si="144"/>
        <v>1.5707963267948966</v>
      </c>
      <c r="AZ120" s="32" t="str">
        <f t="shared" si="118"/>
        <v>1+0.0128844678028567i</v>
      </c>
      <c r="BA120" s="32">
        <f t="shared" si="145"/>
        <v>1.0000830013106727</v>
      </c>
      <c r="BB120" s="32">
        <f t="shared" si="146"/>
        <v>1.2883754892467358E-2</v>
      </c>
      <c r="BC120" s="32" t="str">
        <f t="shared" si="119"/>
        <v>1+0.618454454537122i</v>
      </c>
      <c r="BD120" s="32">
        <f t="shared" si="147"/>
        <v>1.1757916109314648</v>
      </c>
      <c r="BE120" s="32">
        <f t="shared" si="148"/>
        <v>0.55387855358935301</v>
      </c>
      <c r="BF120" s="59" t="str">
        <f t="shared" si="149"/>
        <v>-0.639072148686123+1.06373265092222i</v>
      </c>
      <c r="BG120" s="50">
        <f t="shared" si="150"/>
        <v>1.8750390255974667</v>
      </c>
      <c r="BH120" s="61">
        <f t="shared" si="151"/>
        <v>120.99671870386113</v>
      </c>
      <c r="BI120" s="59" t="str">
        <f t="shared" si="152"/>
        <v>-1.23591899813513+20.4544629008764i</v>
      </c>
      <c r="BJ120" s="64">
        <f t="shared" si="153"/>
        <v>26.231588529434244</v>
      </c>
      <c r="BK120" s="61">
        <f t="shared" si="154"/>
        <v>93.457776098769628</v>
      </c>
      <c r="BL120" s="59" t="str">
        <f t="shared" si="158"/>
        <v>-10.0621311600922+119.40192817173i</v>
      </c>
      <c r="BM120" s="64">
        <f t="shared" si="155"/>
        <v>41.570959736010622</v>
      </c>
      <c r="BN120" s="61">
        <f t="shared" si="159"/>
        <v>94.816996735641396</v>
      </c>
      <c r="BO120" s="50">
        <f t="shared" si="156"/>
        <v>26.231588529434244</v>
      </c>
      <c r="BP120" s="61">
        <f t="shared" si="157"/>
        <v>93.457776098769628</v>
      </c>
    </row>
    <row r="121" spans="14:68" x14ac:dyDescent="0.25">
      <c r="N121" s="11">
        <v>3</v>
      </c>
      <c r="O121" s="51">
        <f t="shared" si="160"/>
        <v>107.15193052376065</v>
      </c>
      <c r="P121" s="49" t="str">
        <f t="shared" si="107"/>
        <v>37.1583961085025</v>
      </c>
      <c r="Q121" s="18" t="str">
        <f t="shared" si="108"/>
        <v>1+0.527704287636435i</v>
      </c>
      <c r="R121" s="18">
        <f t="shared" si="121"/>
        <v>1.130695279547004</v>
      </c>
      <c r="S121" s="18">
        <f t="shared" si="122"/>
        <v>0.48556461223984015</v>
      </c>
      <c r="T121" s="18" t="str">
        <f t="shared" si="109"/>
        <v>1+0.000605929891952539i</v>
      </c>
      <c r="U121" s="18">
        <f t="shared" si="123"/>
        <v>1.0000001835755001</v>
      </c>
      <c r="V121" s="18">
        <f t="shared" si="124"/>
        <v>6.0592981779662659E-4</v>
      </c>
      <c r="W121" s="32" t="str">
        <f t="shared" si="110"/>
        <v>1-0.00530363982394799i</v>
      </c>
      <c r="X121" s="18">
        <f t="shared" si="125"/>
        <v>1.0000140641987902</v>
      </c>
      <c r="Y121" s="18">
        <f t="shared" si="126"/>
        <v>-5.3035900968076873E-3</v>
      </c>
      <c r="Z121" s="32" t="str">
        <f t="shared" si="111"/>
        <v>0.999999712961595+0.00127694114267035i</v>
      </c>
      <c r="AA121" s="18">
        <f t="shared" si="127"/>
        <v>1.0000005282508375</v>
      </c>
      <c r="AB121" s="18">
        <f t="shared" si="128"/>
        <v>1.2769408151506836E-3</v>
      </c>
      <c r="AC121" s="32" t="str">
        <f>IMDIV(IMSUM(COMPLEX(0,2*PI()*O121*Constants!$B$61*Constants!$B$62),COMPLEX(1,0)),IMSUM(COMPLEX(0,2*PI()*O121*Constants!$B$61*Constants!$B$62),COMPLEX(2,0)))</f>
        <v>0.500000906544119+0.000673254214831308i</v>
      </c>
      <c r="AD121" s="18">
        <f t="shared" si="129"/>
        <v>0.50000135981432947</v>
      </c>
      <c r="AE121" s="18">
        <f t="shared" si="130"/>
        <v>1.3465051745557011E-3</v>
      </c>
      <c r="AF121" s="66" t="str">
        <f t="shared" si="131"/>
        <v>14.4969395122895-7.73608455552507i</v>
      </c>
      <c r="AG121" s="64">
        <f t="shared" si="132"/>
        <v>24.313770493026038</v>
      </c>
      <c r="AH121" s="61">
        <f t="shared" si="133"/>
        <v>-28.085973325624284</v>
      </c>
      <c r="AI121" s="50" t="str">
        <f t="shared" si="112"/>
        <v>107.538871525172</v>
      </c>
      <c r="AJ121" s="50" t="str">
        <f t="shared" si="113"/>
        <v>1+0.501662735220448i</v>
      </c>
      <c r="AK121" s="50">
        <f t="shared" si="134"/>
        <v>1.1187785750133319</v>
      </c>
      <c r="AL121" s="50">
        <f t="shared" si="135"/>
        <v>0.46497691228190902</v>
      </c>
      <c r="AM121" s="50" t="str">
        <f t="shared" si="114"/>
        <v>1+0.000605929891952539i</v>
      </c>
      <c r="AN121" s="50">
        <f t="shared" si="136"/>
        <v>1.0000001835755001</v>
      </c>
      <c r="AO121" s="50">
        <f t="shared" si="137"/>
        <v>6.0592981779662659E-4</v>
      </c>
      <c r="AP121" s="50" t="str">
        <f t="shared" si="115"/>
        <v>1-0.00174215346296154i</v>
      </c>
      <c r="AQ121" s="50">
        <f t="shared" si="138"/>
        <v>1.0000015175481929</v>
      </c>
      <c r="AR121" s="50">
        <f t="shared" si="139"/>
        <v>-1.7421517004288527E-3</v>
      </c>
      <c r="AS121" s="59" t="str">
        <f t="shared" si="140"/>
        <v>85.8677400523949-43.1988335425094i</v>
      </c>
      <c r="AT121" s="50">
        <f t="shared" si="141"/>
        <v>39.656441454544051</v>
      </c>
      <c r="AU121" s="61">
        <f t="shared" si="142"/>
        <v>-26.706315363243288</v>
      </c>
      <c r="AV121" s="32" t="str">
        <f t="shared" si="116"/>
        <v>-0.0000333333333333333</v>
      </c>
      <c r="AW121" s="32" t="str">
        <f t="shared" si="117"/>
        <v>0.0000323162609041354i</v>
      </c>
      <c r="AX121" s="32">
        <f t="shared" si="143"/>
        <v>3.23162609041354E-5</v>
      </c>
      <c r="AY121" s="32">
        <f t="shared" si="144"/>
        <v>1.5707963267948966</v>
      </c>
      <c r="AZ121" s="32" t="str">
        <f t="shared" si="118"/>
        <v>1+0.0131845856119303i</v>
      </c>
      <c r="BA121" s="32">
        <f t="shared" si="145"/>
        <v>1.0000869128719556</v>
      </c>
      <c r="BB121" s="32">
        <f t="shared" si="146"/>
        <v>1.3183821718270644E-2</v>
      </c>
      <c r="BC121" s="32" t="str">
        <f t="shared" si="119"/>
        <v>1+0.632860109372653i</v>
      </c>
      <c r="BD121" s="32">
        <f t="shared" si="147"/>
        <v>1.1834322617011783</v>
      </c>
      <c r="BE121" s="32">
        <f t="shared" si="148"/>
        <v>0.56423157235839394</v>
      </c>
      <c r="BF121" s="59" t="str">
        <f t="shared" si="149"/>
        <v>-0.639067149590639+1.03989830175119i</v>
      </c>
      <c r="BG121" s="50">
        <f t="shared" si="150"/>
        <v>1.7312659973401565</v>
      </c>
      <c r="BH121" s="61">
        <f t="shared" si="151"/>
        <v>121.57271042185636</v>
      </c>
      <c r="BI121" s="59" t="str">
        <f t="shared" si="152"/>
        <v>-1.21977662041263+20.0192202853111i</v>
      </c>
      <c r="BJ121" s="64">
        <f t="shared" si="153"/>
        <v>26.045036490366172</v>
      </c>
      <c r="BK121" s="61">
        <f t="shared" si="154"/>
        <v>93.486737096232076</v>
      </c>
      <c r="BL121" s="59" t="str">
        <f t="shared" si="158"/>
        <v>-9.95285823858609+116.90067247335i</v>
      </c>
      <c r="BM121" s="64">
        <f t="shared" si="155"/>
        <v>41.387707451884204</v>
      </c>
      <c r="BN121" s="61">
        <f t="shared" si="159"/>
        <v>94.866395058613065</v>
      </c>
      <c r="BO121" s="50">
        <f t="shared" si="156"/>
        <v>26.045036490366172</v>
      </c>
      <c r="BP121" s="61">
        <f t="shared" si="157"/>
        <v>93.486737096232076</v>
      </c>
    </row>
    <row r="122" spans="14:68" x14ac:dyDescent="0.25">
      <c r="N122" s="11">
        <v>4</v>
      </c>
      <c r="O122" s="51">
        <f t="shared" si="160"/>
        <v>109.64781961431861</v>
      </c>
      <c r="P122" s="49" t="str">
        <f t="shared" si="107"/>
        <v>37.1583961085025</v>
      </c>
      <c r="Q122" s="18" t="str">
        <f t="shared" si="108"/>
        <v>1+0.539996099534871i</v>
      </c>
      <c r="R122" s="18">
        <f t="shared" si="121"/>
        <v>1.1364839583174389</v>
      </c>
      <c r="S122" s="18">
        <f t="shared" si="122"/>
        <v>0.49513024359267666</v>
      </c>
      <c r="T122" s="18" t="str">
        <f t="shared" si="109"/>
        <v>1+0.000620043812248468i</v>
      </c>
      <c r="U122" s="18">
        <f t="shared" si="123"/>
        <v>1.000000192227146</v>
      </c>
      <c r="V122" s="18">
        <f t="shared" si="124"/>
        <v>6.2004373278897699E-4</v>
      </c>
      <c r="W122" s="32" t="str">
        <f t="shared" si="110"/>
        <v>1-0.00542717746542711i</v>
      </c>
      <c r="X122" s="18">
        <f t="shared" si="125"/>
        <v>1.0000147270191782</v>
      </c>
      <c r="Y122" s="18">
        <f t="shared" si="126"/>
        <v>-5.4271241818786616E-3</v>
      </c>
      <c r="Z122" s="32" t="str">
        <f t="shared" si="111"/>
        <v>0.999999699433891+0.00130668492284955i</v>
      </c>
      <c r="AA122" s="18">
        <f t="shared" si="127"/>
        <v>1.000000553146527</v>
      </c>
      <c r="AB122" s="18">
        <f t="shared" si="128"/>
        <v>1.3066845719059152E-3</v>
      </c>
      <c r="AC122" s="32" t="str">
        <f>IMDIV(IMSUM(COMPLEX(0,2*PI()*O122*Constants!$B$61*Constants!$B$62),COMPLEX(1,0)),IMSUM(COMPLEX(0,2*PI()*O122*Constants!$B$61*Constants!$B$62),COMPLEX(2,0)))</f>
        <v>0.500000949268146+0.000688936261191987i</v>
      </c>
      <c r="AD122" s="18">
        <f t="shared" si="129"/>
        <v>0.50000142390019153</v>
      </c>
      <c r="AE122" s="18">
        <f t="shared" si="130"/>
        <v>1.3778690344752363E-3</v>
      </c>
      <c r="AF122" s="66" t="str">
        <f t="shared" si="131"/>
        <v>14.3479835253415-7.83584547509333i</v>
      </c>
      <c r="AG122" s="64">
        <f t="shared" si="132"/>
        <v>24.269422604586492</v>
      </c>
      <c r="AH122" s="61">
        <f t="shared" si="133"/>
        <v>-28.640220119385329</v>
      </c>
      <c r="AI122" s="50" t="str">
        <f t="shared" si="112"/>
        <v>107.538871525172</v>
      </c>
      <c r="AJ122" s="50" t="str">
        <f t="shared" si="113"/>
        <v>1+0.51334796143948i</v>
      </c>
      <c r="AK122" s="50">
        <f t="shared" si="134"/>
        <v>1.1240667816077787</v>
      </c>
      <c r="AL122" s="50">
        <f t="shared" si="135"/>
        <v>0.47426886774219995</v>
      </c>
      <c r="AM122" s="50" t="str">
        <f t="shared" si="114"/>
        <v>1+0.000620043812248468i</v>
      </c>
      <c r="AN122" s="50">
        <f t="shared" si="136"/>
        <v>1.000000192227146</v>
      </c>
      <c r="AO122" s="50">
        <f t="shared" si="137"/>
        <v>6.2004373278897699E-4</v>
      </c>
      <c r="AP122" s="50" t="str">
        <f t="shared" si="115"/>
        <v>1-0.00178273343012619i</v>
      </c>
      <c r="AQ122" s="50">
        <f t="shared" si="138"/>
        <v>1.0000015890679788</v>
      </c>
      <c r="AR122" s="50">
        <f t="shared" si="139"/>
        <v>-1.7827315415385517E-3</v>
      </c>
      <c r="AS122" s="59" t="str">
        <f t="shared" si="140"/>
        <v>85.0594235980887-43.7901160347366i</v>
      </c>
      <c r="AT122" s="50">
        <f t="shared" si="141"/>
        <v>39.615482693894819</v>
      </c>
      <c r="AU122" s="61">
        <f t="shared" si="142"/>
        <v>-27.240221580408939</v>
      </c>
      <c r="AV122" s="32" t="str">
        <f t="shared" si="116"/>
        <v>-0.0000333333333333333</v>
      </c>
      <c r="AW122" s="32" t="str">
        <f t="shared" si="117"/>
        <v>0.0000330690033199183i</v>
      </c>
      <c r="AX122" s="32">
        <f t="shared" si="143"/>
        <v>3.3069003319918299E-5</v>
      </c>
      <c r="AY122" s="32">
        <f t="shared" si="144"/>
        <v>1.5707963267948966</v>
      </c>
      <c r="AZ122" s="32" t="str">
        <f t="shared" si="118"/>
        <v>1+0.0134916940628139i</v>
      </c>
      <c r="BA122" s="32">
        <f t="shared" si="145"/>
        <v>1.0000910087630448</v>
      </c>
      <c r="BB122" s="32">
        <f t="shared" si="146"/>
        <v>1.34908755400333E-2</v>
      </c>
      <c r="BC122" s="32" t="str">
        <f t="shared" si="119"/>
        <v>1+0.647601315015068i</v>
      </c>
      <c r="BD122" s="32">
        <f t="shared" si="147"/>
        <v>1.1913804863305615</v>
      </c>
      <c r="BE122" s="32">
        <f t="shared" si="148"/>
        <v>0.57468712590489557</v>
      </c>
      <c r="BF122" s="59" t="str">
        <f t="shared" si="149"/>
        <v>-0.639061914978869+1.01661531421132i</v>
      </c>
      <c r="BG122" s="50">
        <f t="shared" si="150"/>
        <v>1.5893719847114163</v>
      </c>
      <c r="BH122" s="61">
        <f t="shared" si="151"/>
        <v>122.15417662447378</v>
      </c>
      <c r="BI122" s="59" t="str">
        <f t="shared" si="152"/>
        <v>-1.20320931801665+19.5939701947055i</v>
      </c>
      <c r="BJ122" s="64">
        <f t="shared" si="153"/>
        <v>25.85879458929789</v>
      </c>
      <c r="BK122" s="61">
        <f t="shared" si="154"/>
        <v>93.513956505088444</v>
      </c>
      <c r="BL122" s="59" t="str">
        <f t="shared" si="158"/>
        <v>-9.84053555958945+114.45730805811i</v>
      </c>
      <c r="BM122" s="64">
        <f t="shared" si="155"/>
        <v>41.20485467860621</v>
      </c>
      <c r="BN122" s="61">
        <f t="shared" si="159"/>
        <v>94.913955044064849</v>
      </c>
      <c r="BO122" s="50">
        <f t="shared" si="156"/>
        <v>25.85879458929789</v>
      </c>
      <c r="BP122" s="61">
        <f t="shared" si="157"/>
        <v>93.513956505088444</v>
      </c>
    </row>
    <row r="123" spans="14:68" x14ac:dyDescent="0.25">
      <c r="N123" s="11">
        <v>5</v>
      </c>
      <c r="O123" s="51">
        <f t="shared" si="160"/>
        <v>112.20184543019634</v>
      </c>
      <c r="P123" s="49" t="str">
        <f t="shared" si="107"/>
        <v>37.1583961085025</v>
      </c>
      <c r="Q123" s="18" t="str">
        <f t="shared" si="108"/>
        <v>1+0.552574224512974i</v>
      </c>
      <c r="R123" s="18">
        <f t="shared" si="121"/>
        <v>1.1425140146169388</v>
      </c>
      <c r="S123" s="18">
        <f t="shared" si="122"/>
        <v>0.50481743435717852</v>
      </c>
      <c r="T123" s="18" t="str">
        <f t="shared" si="109"/>
        <v>1+0.000634486487980901i</v>
      </c>
      <c r="U123" s="18">
        <f t="shared" si="123"/>
        <v>1.0000002012865314</v>
      </c>
      <c r="V123" s="18">
        <f t="shared" si="124"/>
        <v>6.3448640283852336E-4</v>
      </c>
      <c r="W123" s="32" t="str">
        <f t="shared" si="110"/>
        <v>1-0.00555359266823558i</v>
      </c>
      <c r="X123" s="18">
        <f t="shared" si="125"/>
        <v>1.0000154210768575</v>
      </c>
      <c r="Y123" s="18">
        <f t="shared" si="126"/>
        <v>-5.5535355739323175E-3</v>
      </c>
      <c r="Z123" s="32" t="str">
        <f t="shared" si="111"/>
        <v>0.999999685268647+0.00133712152467086i</v>
      </c>
      <c r="AA123" s="18">
        <f t="shared" si="127"/>
        <v>1.0000005792155147</v>
      </c>
      <c r="AB123" s="18">
        <f t="shared" si="128"/>
        <v>1.3371211486279905E-3</v>
      </c>
      <c r="AC123" s="32" t="str">
        <f>IMDIV(IMSUM(COMPLEX(0,2*PI()*O123*Constants!$B$61*Constants!$B$62),COMPLEX(1,0)),IMSUM(COMPLEX(0,2*PI()*O123*Constants!$B$61*Constants!$B$62),COMPLEX(2,0)))</f>
        <v>0.500000994005687+0.000704983585127274i</v>
      </c>
      <c r="AD123" s="18">
        <f t="shared" si="129"/>
        <v>0.5000014910063072</v>
      </c>
      <c r="AE123" s="18">
        <f t="shared" si="130"/>
        <v>1.4099634328943033E-3</v>
      </c>
      <c r="AF123" s="66" t="str">
        <f t="shared" si="131"/>
        <v>14.1952177561887-7.93395135150244i</v>
      </c>
      <c r="AG123" s="64">
        <f t="shared" si="132"/>
        <v>24.223465129427201</v>
      </c>
      <c r="AH123" s="61">
        <f t="shared" si="133"/>
        <v>-29.201575614551246</v>
      </c>
      <c r="AI123" s="50" t="str">
        <f t="shared" si="112"/>
        <v>107.538871525172</v>
      </c>
      <c r="AJ123" s="50" t="str">
        <f t="shared" si="113"/>
        <v>1+0.52530537154263i</v>
      </c>
      <c r="AK123" s="50">
        <f t="shared" si="134"/>
        <v>1.1295776792109256</v>
      </c>
      <c r="AL123" s="50">
        <f t="shared" si="135"/>
        <v>0.48368636122434239</v>
      </c>
      <c r="AM123" s="50" t="str">
        <f t="shared" si="114"/>
        <v>1+0.000634486487980901i</v>
      </c>
      <c r="AN123" s="50">
        <f t="shared" si="136"/>
        <v>1.0000002012865314</v>
      </c>
      <c r="AO123" s="50">
        <f t="shared" si="137"/>
        <v>6.3448640283852336E-4</v>
      </c>
      <c r="AP123" s="50" t="str">
        <f t="shared" si="115"/>
        <v>1-0.00182425862615276i</v>
      </c>
      <c r="AQ123" s="50">
        <f t="shared" si="138"/>
        <v>1.0000016639583831</v>
      </c>
      <c r="AR123" s="50">
        <f t="shared" si="139"/>
        <v>-1.8242566024948277E-3</v>
      </c>
      <c r="AS123" s="59" t="str">
        <f t="shared" si="140"/>
        <v>84.2291188961872-44.3739553495811i</v>
      </c>
      <c r="AT123" s="50">
        <f t="shared" si="141"/>
        <v>39.573003657848361</v>
      </c>
      <c r="AU123" s="61">
        <f t="shared" si="142"/>
        <v>-27.781355917225774</v>
      </c>
      <c r="AV123" s="32" t="str">
        <f t="shared" si="116"/>
        <v>-0.0000333333333333333</v>
      </c>
      <c r="AW123" s="32" t="str">
        <f t="shared" si="117"/>
        <v>0.0000338392793589813i</v>
      </c>
      <c r="AX123" s="32">
        <f t="shared" si="143"/>
        <v>3.38392793589813E-5</v>
      </c>
      <c r="AY123" s="32">
        <f t="shared" si="144"/>
        <v>1.5707963267948966</v>
      </c>
      <c r="AZ123" s="32" t="str">
        <f t="shared" si="118"/>
        <v>1+0.0138059559884733i</v>
      </c>
      <c r="BA123" s="32">
        <f t="shared" si="145"/>
        <v>1.000095297669555</v>
      </c>
      <c r="BB123" s="32">
        <f t="shared" si="146"/>
        <v>1.3805078930025791E-2</v>
      </c>
      <c r="BC123" s="32" t="str">
        <f t="shared" si="119"/>
        <v>1+0.66268588744672i</v>
      </c>
      <c r="BD123" s="32">
        <f t="shared" si="147"/>
        <v>1.1996468586300915</v>
      </c>
      <c r="BE123" s="32">
        <f t="shared" si="148"/>
        <v>0.58524161375626071</v>
      </c>
      <c r="BF123" s="59" t="str">
        <f t="shared" si="149"/>
        <v>-0.639056433759356+0.993871342910262i</v>
      </c>
      <c r="BG123" s="50">
        <f t="shared" si="150"/>
        <v>1.4493935076244986</v>
      </c>
      <c r="BH123" s="61">
        <f t="shared" si="151"/>
        <v>122.74090170512373</v>
      </c>
      <c r="BI123" s="59" t="str">
        <f t="shared" si="152"/>
        <v>-1.18621835140502+19.1784627905582i</v>
      </c>
      <c r="BJ123" s="64">
        <f t="shared" si="153"/>
        <v>25.672858637051689</v>
      </c>
      <c r="BK123" s="61">
        <f t="shared" si="154"/>
        <v>93.539326090572501</v>
      </c>
      <c r="BL123" s="59" t="str">
        <f t="shared" si="158"/>
        <v>-9.725157746962+112.070369167002i</v>
      </c>
      <c r="BM123" s="64">
        <f t="shared" si="155"/>
        <v>41.022397165472867</v>
      </c>
      <c r="BN123" s="61">
        <f t="shared" si="159"/>
        <v>94.959545787897966</v>
      </c>
      <c r="BO123" s="50">
        <f t="shared" si="156"/>
        <v>25.672858637051689</v>
      </c>
      <c r="BP123" s="61">
        <f t="shared" si="157"/>
        <v>93.539326090572501</v>
      </c>
    </row>
    <row r="124" spans="14:68" x14ac:dyDescent="0.25">
      <c r="N124" s="11">
        <v>6</v>
      </c>
      <c r="O124" s="51">
        <f t="shared" si="160"/>
        <v>114.81536214968835</v>
      </c>
      <c r="P124" s="49" t="str">
        <f t="shared" si="107"/>
        <v>37.1583961085025</v>
      </c>
      <c r="Q124" s="18" t="str">
        <f t="shared" si="108"/>
        <v>1+0.565445331659099i</v>
      </c>
      <c r="R124" s="18">
        <f t="shared" si="121"/>
        <v>1.1487943345503879</v>
      </c>
      <c r="S124" s="18">
        <f t="shared" si="122"/>
        <v>0.51462404754884017</v>
      </c>
      <c r="T124" s="18" t="str">
        <f t="shared" si="109"/>
        <v>1+0.000649265576847683i</v>
      </c>
      <c r="U124" s="18">
        <f t="shared" si="123"/>
        <v>1.0000002107728725</v>
      </c>
      <c r="V124" s="18">
        <f t="shared" si="124"/>
        <v>6.4926548561598275E-4</v>
      </c>
      <c r="W124" s="32" t="str">
        <f t="shared" si="110"/>
        <v>1-0.00568295245938725i</v>
      </c>
      <c r="X124" s="18">
        <f t="shared" si="125"/>
        <v>1.0000161478439513</v>
      </c>
      <c r="Y124" s="18">
        <f t="shared" si="126"/>
        <v>-5.682891281792439E-3</v>
      </c>
      <c r="Z124" s="32" t="str">
        <f t="shared" si="111"/>
        <v>0.999999670435815+0.00136826708602345i</v>
      </c>
      <c r="AA124" s="18">
        <f t="shared" si="127"/>
        <v>1.0000006065130946</v>
      </c>
      <c r="AB124" s="18">
        <f t="shared" si="128"/>
        <v>1.3682666830862678E-3</v>
      </c>
      <c r="AC124" s="32" t="str">
        <f>IMDIV(IMSUM(COMPLEX(0,2*PI()*O124*Constants!$B$61*Constants!$B$62),COMPLEX(1,0)),IMSUM(COMPLEX(0,2*PI()*O124*Constants!$B$61*Constants!$B$62),COMPLEX(2,0)))</f>
        <v>0.500001040851634+0.000721404694743788i</v>
      </c>
      <c r="AD124" s="18">
        <f t="shared" si="129"/>
        <v>0.50000156127501338</v>
      </c>
      <c r="AE124" s="18">
        <f t="shared" si="130"/>
        <v>1.4428053848353872E-3</v>
      </c>
      <c r="AF124" s="66" t="str">
        <f t="shared" si="131"/>
        <v>14.0386623380956-8.03023330449743i</v>
      </c>
      <c r="AG124" s="64">
        <f t="shared" si="132"/>
        <v>24.175857526330514</v>
      </c>
      <c r="AH124" s="61">
        <f t="shared" si="133"/>
        <v>-29.769920721236758</v>
      </c>
      <c r="AI124" s="50" t="str">
        <f t="shared" si="112"/>
        <v>107.538871525172</v>
      </c>
      <c r="AJ124" s="50" t="str">
        <f t="shared" si="113"/>
        <v>1+0.537541305507012i</v>
      </c>
      <c r="AK124" s="50">
        <f t="shared" si="134"/>
        <v>1.1353196268567645</v>
      </c>
      <c r="AL124" s="50">
        <f t="shared" si="135"/>
        <v>0.49322770329514548</v>
      </c>
      <c r="AM124" s="50" t="str">
        <f t="shared" si="114"/>
        <v>1+0.000649265576847683i</v>
      </c>
      <c r="AN124" s="50">
        <f t="shared" si="136"/>
        <v>1.0000002107728725</v>
      </c>
      <c r="AO124" s="50">
        <f t="shared" si="137"/>
        <v>6.4926548561598275E-4</v>
      </c>
      <c r="AP124" s="50" t="str">
        <f t="shared" si="115"/>
        <v>1-0.00186675106824984i</v>
      </c>
      <c r="AQ124" s="50">
        <f t="shared" si="138"/>
        <v>1.0000017423782575</v>
      </c>
      <c r="AR124" s="50">
        <f t="shared" si="139"/>
        <v>-1.8667488998615025E-3</v>
      </c>
      <c r="AS124" s="59" t="str">
        <f t="shared" si="140"/>
        <v>83.376832741973-44.9494185370036i</v>
      </c>
      <c r="AT124" s="50">
        <f t="shared" si="141"/>
        <v>39.528963545651493</v>
      </c>
      <c r="AU124" s="61">
        <f t="shared" si="142"/>
        <v>-28.329622399006087</v>
      </c>
      <c r="AV124" s="32" t="str">
        <f t="shared" si="116"/>
        <v>-0.0000333333333333333</v>
      </c>
      <c r="AW124" s="32" t="str">
        <f t="shared" si="117"/>
        <v>0.0000346274974318764i</v>
      </c>
      <c r="AX124" s="32">
        <f t="shared" si="143"/>
        <v>3.4627497431876403E-5</v>
      </c>
      <c r="AY124" s="32">
        <f t="shared" si="144"/>
        <v>1.5707963267948966</v>
      </c>
      <c r="AZ124" s="32" t="str">
        <f t="shared" si="118"/>
        <v>1+0.0141275380147413i</v>
      </c>
      <c r="BA124" s="32">
        <f t="shared" si="145"/>
        <v>1.0000997886862881</v>
      </c>
      <c r="BB124" s="32">
        <f t="shared" si="146"/>
        <v>1.4126598234747344E-2</v>
      </c>
      <c r="BC124" s="32" t="str">
        <f t="shared" si="119"/>
        <v>1+0.678121824707581i</v>
      </c>
      <c r="BD124" s="32">
        <f t="shared" si="147"/>
        <v>1.2082421980483629</v>
      </c>
      <c r="BE124" s="32">
        <f t="shared" si="148"/>
        <v>0.59589122595411048</v>
      </c>
      <c r="BF124" s="59" t="str">
        <f t="shared" si="149"/>
        <v>-0.639050694318699+0.971654328217422i</v>
      </c>
      <c r="BG124" s="50">
        <f t="shared" si="150"/>
        <v>1.3113660698847318</v>
      </c>
      <c r="BH124" s="61">
        <f t="shared" si="151"/>
        <v>123.33265783831907</v>
      </c>
      <c r="BI124" s="59" t="str">
        <f t="shared" si="152"/>
        <v>-1.16880596755514+18.7724531919737i</v>
      </c>
      <c r="BJ124" s="64">
        <f t="shared" si="153"/>
        <v>25.48722359621523</v>
      </c>
      <c r="BK124" s="61">
        <f t="shared" si="154"/>
        <v>93.562737117082293</v>
      </c>
      <c r="BL124" s="59" t="str">
        <f t="shared" si="158"/>
        <v>-9.60672578151591+109.738417532092i</v>
      </c>
      <c r="BM124" s="64">
        <f t="shared" si="155"/>
        <v>40.84032961553622</v>
      </c>
      <c r="BN124" s="61">
        <f t="shared" si="159"/>
        <v>95.003035439312967</v>
      </c>
      <c r="BO124" s="50">
        <f t="shared" si="156"/>
        <v>25.48722359621523</v>
      </c>
      <c r="BP124" s="61">
        <f t="shared" si="157"/>
        <v>93.562737117082293</v>
      </c>
    </row>
    <row r="125" spans="14:68" x14ac:dyDescent="0.25">
      <c r="N125" s="11">
        <v>7</v>
      </c>
      <c r="O125" s="51">
        <f t="shared" si="160"/>
        <v>117.48975549395293</v>
      </c>
      <c r="P125" s="49" t="str">
        <f t="shared" si="107"/>
        <v>37.1583961085025</v>
      </c>
      <c r="Q125" s="18" t="str">
        <f t="shared" si="108"/>
        <v>1+0.578616245404622i</v>
      </c>
      <c r="R125" s="18">
        <f t="shared" si="121"/>
        <v>1.1553340466921858</v>
      </c>
      <c r="S125" s="18">
        <f t="shared" si="122"/>
        <v>0.52454773726913706</v>
      </c>
      <c r="T125" s="18" t="str">
        <f t="shared" si="109"/>
        <v>1+0.000664388914917355i</v>
      </c>
      <c r="U125" s="18">
        <f t="shared" si="123"/>
        <v>1.0000002207062908</v>
      </c>
      <c r="V125" s="18">
        <f t="shared" si="124"/>
        <v>6.6438881716082807E-4</v>
      </c>
      <c r="W125" s="32" t="str">
        <f t="shared" si="110"/>
        <v>1-0.00581532542715564i</v>
      </c>
      <c r="X125" s="18">
        <f t="shared" si="125"/>
        <v>1.000016908861957</v>
      </c>
      <c r="Y125" s="18">
        <f t="shared" si="126"/>
        <v>-5.8152598742416154E-3</v>
      </c>
      <c r="Z125" s="32" t="str">
        <f t="shared" si="111"/>
        <v>0.999999654903934+0.0014001381206962i</v>
      </c>
      <c r="AA125" s="18">
        <f t="shared" si="127"/>
        <v>1.0000006350971706</v>
      </c>
      <c r="AB125" s="18">
        <f t="shared" si="128"/>
        <v>1.4001376889412431E-3</v>
      </c>
      <c r="AC125" s="32" t="str">
        <f>IMDIV(IMSUM(COMPLEX(0,2*PI()*O125*Constants!$B$61*Constants!$B$62),COMPLEX(1,0)),IMSUM(COMPLEX(0,2*PI()*O125*Constants!$B$61*Constants!$B$62),COMPLEX(2,0)))</f>
        <v>0.500001089905353+0.000738208296305872i</v>
      </c>
      <c r="AD125" s="18">
        <f t="shared" si="129"/>
        <v>0.50000163485535687</v>
      </c>
      <c r="AE125" s="18">
        <f t="shared" si="130"/>
        <v>1.4764123015512556E-3</v>
      </c>
      <c r="AF125" s="66" t="str">
        <f t="shared" si="131"/>
        <v>13.8783466466338-8.12452022023785i</v>
      </c>
      <c r="AG125" s="64">
        <f t="shared" si="132"/>
        <v>24.126559518624259</v>
      </c>
      <c r="AH125" s="61">
        <f t="shared" si="133"/>
        <v>-30.345124457658926</v>
      </c>
      <c r="AI125" s="50" t="str">
        <f t="shared" si="112"/>
        <v>107.538871525172</v>
      </c>
      <c r="AJ125" s="50" t="str">
        <f t="shared" si="113"/>
        <v>1+0.550062250986772i</v>
      </c>
      <c r="AK125" s="50">
        <f t="shared" si="134"/>
        <v>1.1413012222724703</v>
      </c>
      <c r="AL125" s="50">
        <f t="shared" si="135"/>
        <v>0.50289100313547153</v>
      </c>
      <c r="AM125" s="50" t="str">
        <f t="shared" si="114"/>
        <v>1+0.000664388914917355i</v>
      </c>
      <c r="AN125" s="50">
        <f t="shared" si="136"/>
        <v>1.0000002207062908</v>
      </c>
      <c r="AO125" s="50">
        <f t="shared" si="137"/>
        <v>6.6438881716082807E-4</v>
      </c>
      <c r="AP125" s="50" t="str">
        <f t="shared" si="115"/>
        <v>1-0.00191023328647267i</v>
      </c>
      <c r="AQ125" s="50">
        <f t="shared" si="138"/>
        <v>1.0000018244939399</v>
      </c>
      <c r="AR125" s="50">
        <f t="shared" si="139"/>
        <v>-1.9102309630029339E-3</v>
      </c>
      <c r="AS125" s="59" t="str">
        <f t="shared" si="140"/>
        <v>82.5026201202795-45.5155536334806i</v>
      </c>
      <c r="AT125" s="50">
        <f t="shared" si="141"/>
        <v>39.483321613570965</v>
      </c>
      <c r="AU125" s="61">
        <f t="shared" si="142"/>
        <v>-28.88491353165908</v>
      </c>
      <c r="AV125" s="32" t="str">
        <f t="shared" si="116"/>
        <v>-0.0000333333333333333</v>
      </c>
      <c r="AW125" s="32" t="str">
        <f t="shared" si="117"/>
        <v>0.0000354340754622589i</v>
      </c>
      <c r="AX125" s="32">
        <f t="shared" si="143"/>
        <v>3.5434075462258898E-5</v>
      </c>
      <c r="AY125" s="32">
        <f t="shared" si="144"/>
        <v>1.5707963267948966</v>
      </c>
      <c r="AZ125" s="32" t="str">
        <f t="shared" si="118"/>
        <v>1+0.0144566106486647i</v>
      </c>
      <c r="BA125" s="32">
        <f t="shared" si="145"/>
        <v>1.0001044913365038</v>
      </c>
      <c r="BB125" s="32">
        <f t="shared" si="146"/>
        <v>1.4455603661940743E-2</v>
      </c>
      <c r="BC125" s="32" t="str">
        <f t="shared" si="119"/>
        <v>1+0.693917311135905i</v>
      </c>
      <c r="BD125" s="32">
        <f t="shared" si="147"/>
        <v>1.2171775690892781</v>
      </c>
      <c r="BE125" s="32">
        <f t="shared" si="148"/>
        <v>0.60663194645214169</v>
      </c>
      <c r="BF125" s="59" t="str">
        <f t="shared" si="149"/>
        <v>-0.639044684497033+0.949952489867586i</v>
      </c>
      <c r="BG125" s="50">
        <f t="shared" si="150"/>
        <v>1.1753240443127075</v>
      </c>
      <c r="BH125" s="61">
        <f t="shared" si="151"/>
        <v>123.92920516937076</v>
      </c>
      <c r="BI125" s="59" t="str">
        <f t="shared" si="152"/>
        <v>-1.15097544194406+18.3757014130469i</v>
      </c>
      <c r="BJ125" s="64">
        <f t="shared" si="153"/>
        <v>25.301883562936961</v>
      </c>
      <c r="BK125" s="61">
        <f t="shared" si="154"/>
        <v>93.584080711711835</v>
      </c>
      <c r="BL125" s="59" t="str">
        <f t="shared" si="158"/>
        <v>-9.48524734311604+107.460042015274i</v>
      </c>
      <c r="BM125" s="64">
        <f t="shared" si="155"/>
        <v>40.658645657883632</v>
      </c>
      <c r="BN125" s="61">
        <f t="shared" si="159"/>
        <v>95.044291637711709</v>
      </c>
      <c r="BO125" s="50">
        <f t="shared" si="156"/>
        <v>25.301883562936961</v>
      </c>
      <c r="BP125" s="61">
        <f t="shared" si="157"/>
        <v>93.584080711711835</v>
      </c>
    </row>
    <row r="126" spans="14:68" x14ac:dyDescent="0.25">
      <c r="N126" s="11">
        <v>8</v>
      </c>
      <c r="O126" s="51">
        <f t="shared" si="160"/>
        <v>120.22644346174135</v>
      </c>
      <c r="P126" s="49" t="str">
        <f t="shared" si="107"/>
        <v>37.1583961085025</v>
      </c>
      <c r="Q126" s="18" t="str">
        <f t="shared" si="108"/>
        <v>1+0.592093949142352i</v>
      </c>
      <c r="R126" s="18">
        <f t="shared" si="121"/>
        <v>1.1621425233640605</v>
      </c>
      <c r="S126" s="18">
        <f t="shared" si="122"/>
        <v>0.53458594629987033</v>
      </c>
      <c r="T126" s="18" t="str">
        <f t="shared" si="109"/>
        <v>1+0.000679864520783944i</v>
      </c>
      <c r="U126" s="18">
        <f t="shared" si="123"/>
        <v>1.0000002311078566</v>
      </c>
      <c r="V126" s="18">
        <f t="shared" si="124"/>
        <v>6.798644160359395E-4</v>
      </c>
      <c r="W126" s="32" t="str">
        <f t="shared" si="110"/>
        <v>1-0.00595078175744046i</v>
      </c>
      <c r="X126" s="18">
        <f t="shared" si="125"/>
        <v>1.0000177057450157</v>
      </c>
      <c r="Y126" s="18">
        <f t="shared" si="126"/>
        <v>-5.9507115162947353E-3</v>
      </c>
      <c r="Z126" s="32" t="str">
        <f t="shared" si="111"/>
        <v>0.999999638640057+0.00143275152713357i</v>
      </c>
      <c r="AA126" s="18">
        <f t="shared" si="127"/>
        <v>1.0000006650283704</v>
      </c>
      <c r="AB126" s="18">
        <f t="shared" si="128"/>
        <v>1.432751064499814E-3</v>
      </c>
      <c r="AC126" s="32" t="str">
        <f>IMDIV(IMSUM(COMPLEX(0,2*PI()*O126*Constants!$B$61*Constants!$B$62),COMPLEX(1,0)),IMSUM(COMPLEX(0,2*PI()*O126*Constants!$B$61*Constants!$B$62),COMPLEX(2,0)))</f>
        <v>0.500001141270893+0.00075540329884974i</v>
      </c>
      <c r="AD126" s="18">
        <f t="shared" si="129"/>
        <v>0.50000171190340881</v>
      </c>
      <c r="AE126" s="18">
        <f t="shared" si="130"/>
        <v>1.5108019997471674E-3</v>
      </c>
      <c r="AF126" s="66" t="str">
        <f t="shared" si="131"/>
        <v>13.7143096460691-8.21663930958638i</v>
      </c>
      <c r="AG126" s="64">
        <f t="shared" si="132"/>
        <v>24.075531194721108</v>
      </c>
      <c r="AH126" s="61">
        <f t="shared" si="133"/>
        <v>-30.927043814116622</v>
      </c>
      <c r="AI126" s="50" t="str">
        <f t="shared" si="112"/>
        <v>107.538871525172</v>
      </c>
      <c r="AJ126" s="50" t="str">
        <f t="shared" si="113"/>
        <v>1+0.562874846752942i</v>
      </c>
      <c r="AK126" s="50">
        <f t="shared" si="134"/>
        <v>1.1475313037591384</v>
      </c>
      <c r="AL126" s="50">
        <f t="shared" si="135"/>
        <v>0.51267416475703753</v>
      </c>
      <c r="AM126" s="50" t="str">
        <f t="shared" si="114"/>
        <v>1+0.000679864520783944i</v>
      </c>
      <c r="AN126" s="50">
        <f t="shared" si="136"/>
        <v>1.0000002311078566</v>
      </c>
      <c r="AO126" s="50">
        <f t="shared" si="137"/>
        <v>6.798644160359395E-4</v>
      </c>
      <c r="AP126" s="50" t="str">
        <f t="shared" si="115"/>
        <v>1-0.00195472833566892i</v>
      </c>
      <c r="AQ126" s="50">
        <f t="shared" si="138"/>
        <v>1.0000019104796083</v>
      </c>
      <c r="AR126" s="50">
        <f t="shared" si="139"/>
        <v>-1.9547258460264998E-3</v>
      </c>
      <c r="AS126" s="59" t="str">
        <f t="shared" si="140"/>
        <v>81.6065865502744-46.0713923145174i</v>
      </c>
      <c r="AT126" s="50">
        <f t="shared" si="141"/>
        <v>39.436037266513104</v>
      </c>
      <c r="AU126" s="61">
        <f t="shared" si="142"/>
        <v>-29.447110085375328</v>
      </c>
      <c r="AV126" s="32" t="str">
        <f t="shared" si="116"/>
        <v>-0.0000333333333333333</v>
      </c>
      <c r="AW126" s="32" t="str">
        <f t="shared" si="117"/>
        <v>0.000036259441108477i</v>
      </c>
      <c r="AX126" s="32">
        <f t="shared" si="143"/>
        <v>3.6259441108477002E-5</v>
      </c>
      <c r="AY126" s="32">
        <f t="shared" si="144"/>
        <v>1.5707963267948966</v>
      </c>
      <c r="AZ126" s="32" t="str">
        <f t="shared" si="118"/>
        <v>1+0.0147933483689099i</v>
      </c>
      <c r="BA126" s="32">
        <f t="shared" si="145"/>
        <v>1.0001094155920962</v>
      </c>
      <c r="BB126" s="32">
        <f t="shared" si="146"/>
        <v>1.4792269369570555E-2</v>
      </c>
      <c r="BC126" s="32" t="str">
        <f t="shared" si="119"/>
        <v>1+0.710080721707676i</v>
      </c>
      <c r="BD126" s="32">
        <f t="shared" si="147"/>
        <v>1.226464280499393</v>
      </c>
      <c r="BE126" s="32">
        <f t="shared" si="148"/>
        <v>0.61745955748648773</v>
      </c>
      <c r="BF126" s="59" t="str">
        <f t="shared" si="149"/>
        <v>-0.639038391562349+0.928754320712389i</v>
      </c>
      <c r="BG126" s="50">
        <f t="shared" si="150"/>
        <v>1.0413005581653008</v>
      </c>
      <c r="BH126" s="61">
        <f t="shared" si="151"/>
        <v>124.53029205969412</v>
      </c>
      <c r="BI126" s="59" t="str">
        <f t="shared" si="152"/>
        <v>-1.13273111709839+17.9879723078203i</v>
      </c>
      <c r="BJ126" s="64">
        <f t="shared" si="153"/>
        <v>25.116831752886402</v>
      </c>
      <c r="BK126" s="61">
        <f t="shared" si="154"/>
        <v>93.60324824557749</v>
      </c>
      <c r="BL126" s="59" t="str">
        <f t="shared" si="158"/>
        <v>-9.36073713663739+105.233858298864i</v>
      </c>
      <c r="BM126" s="64">
        <f t="shared" si="155"/>
        <v>40.477337824678408</v>
      </c>
      <c r="BN126" s="61">
        <f t="shared" si="159"/>
        <v>95.083181974318805</v>
      </c>
      <c r="BO126" s="50">
        <f t="shared" si="156"/>
        <v>25.116831752886402</v>
      </c>
      <c r="BP126" s="61">
        <f t="shared" si="157"/>
        <v>93.60324824557749</v>
      </c>
    </row>
    <row r="127" spans="14:68" x14ac:dyDescent="0.25">
      <c r="N127" s="11">
        <v>9</v>
      </c>
      <c r="O127" s="51">
        <f t="shared" si="160"/>
        <v>123.02687708123821</v>
      </c>
      <c r="P127" s="49" t="str">
        <f t="shared" si="107"/>
        <v>37.1583961085025</v>
      </c>
      <c r="Q127" s="18" t="str">
        <f t="shared" si="108"/>
        <v>1+0.605885588929205i</v>
      </c>
      <c r="R127" s="18">
        <f t="shared" si="121"/>
        <v>1.169229381632231</v>
      </c>
      <c r="S127" s="18">
        <f t="shared" si="122"/>
        <v>0.54473590440938291</v>
      </c>
      <c r="T127" s="18" t="str">
        <f t="shared" si="109"/>
        <v>1+0.000695700599818523i</v>
      </c>
      <c r="U127" s="18">
        <f t="shared" si="123"/>
        <v>1.000000241999633</v>
      </c>
      <c r="V127" s="18">
        <f t="shared" si="124"/>
        <v>6.9570048757901552E-4</v>
      </c>
      <c r="W127" s="32" t="str">
        <f t="shared" si="110"/>
        <v>1-0.00608939327098097i</v>
      </c>
      <c r="X127" s="18">
        <f t="shared" si="125"/>
        <v>1.000018540183335</v>
      </c>
      <c r="Y127" s="18">
        <f t="shared" si="126"/>
        <v>-6.0893180063126681E-3</v>
      </c>
      <c r="Z127" s="32" t="str">
        <f t="shared" si="111"/>
        <v>0.999999621609688+0.00146612459739533i</v>
      </c>
      <c r="AA127" s="18">
        <f t="shared" si="127"/>
        <v>1.0000006963701846</v>
      </c>
      <c r="AB127" s="18">
        <f t="shared" si="128"/>
        <v>1.4661241016743452E-3</v>
      </c>
      <c r="AC127" s="32" t="str">
        <f>IMDIV(IMSUM(COMPLEX(0,2*PI()*O127*Constants!$B$61*Constants!$B$62),COMPLEX(1,0)),IMSUM(COMPLEX(0,2*PI()*O127*Constants!$B$61*Constants!$B$62),COMPLEX(2,0)))</f>
        <v>0.500001195057204+0.000772998818904994i</v>
      </c>
      <c r="AD127" s="18">
        <f t="shared" si="129"/>
        <v>0.50000179258259292</v>
      </c>
      <c r="AE127" s="18">
        <f t="shared" si="130"/>
        <v>1.5459927110173894E-3</v>
      </c>
      <c r="AF127" s="66" t="str">
        <f t="shared" si="131"/>
        <v>13.5466001999312-8.30641670839007i</v>
      </c>
      <c r="AG127" s="64">
        <f t="shared" si="132"/>
        <v>24.022733112168275</v>
      </c>
      <c r="AH127" s="61">
        <f t="shared" si="133"/>
        <v>-31.515523657799896</v>
      </c>
      <c r="AI127" s="50" t="str">
        <f t="shared" si="112"/>
        <v>107.538871525172</v>
      </c>
      <c r="AJ127" s="50" t="str">
        <f t="shared" si="113"/>
        <v>1+0.575985886213389i</v>
      </c>
      <c r="AK127" s="50">
        <f t="shared" si="134"/>
        <v>1.1540189518014958</v>
      </c>
      <c r="AL127" s="50">
        <f t="shared" si="135"/>
        <v>0.52257488381340067</v>
      </c>
      <c r="AM127" s="50" t="str">
        <f t="shared" si="114"/>
        <v>1+0.000695700599818523i</v>
      </c>
      <c r="AN127" s="50">
        <f t="shared" si="136"/>
        <v>1.000000241999633</v>
      </c>
      <c r="AO127" s="50">
        <f t="shared" si="137"/>
        <v>6.9570048757901552E-4</v>
      </c>
      <c r="AP127" s="50" t="str">
        <f t="shared" si="115"/>
        <v>1-0.00200025980770263i</v>
      </c>
      <c r="AQ127" s="50">
        <f t="shared" si="138"/>
        <v>1.0000020005176482</v>
      </c>
      <c r="AR127" s="50">
        <f t="shared" si="139"/>
        <v>-2.0002571400030015E-3</v>
      </c>
      <c r="AS127" s="59" t="str">
        <f t="shared" si="140"/>
        <v>80.6888902866192-46.6159528043669i</v>
      </c>
      <c r="AT127" s="50">
        <f t="shared" si="141"/>
        <v>39.387070153865253</v>
      </c>
      <c r="AU127" s="61">
        <f t="shared" si="142"/>
        <v>-30.016080912366828</v>
      </c>
      <c r="AV127" s="32" t="str">
        <f t="shared" si="116"/>
        <v>-0.0000333333333333333</v>
      </c>
      <c r="AW127" s="32" t="str">
        <f t="shared" si="117"/>
        <v>0.0000371040319903212i</v>
      </c>
      <c r="AX127" s="32">
        <f t="shared" si="143"/>
        <v>3.7104031990321202E-5</v>
      </c>
      <c r="AY127" s="32">
        <f t="shared" si="144"/>
        <v>1.5707963267948966</v>
      </c>
      <c r="AZ127" s="32" t="str">
        <f t="shared" si="118"/>
        <v>1+0.0151379297182734i</v>
      </c>
      <c r="BA127" s="32">
        <f t="shared" si="145"/>
        <v>1.0001145718947182</v>
      </c>
      <c r="BB127" s="32">
        <f t="shared" si="146"/>
        <v>1.513677355680427E-2</v>
      </c>
      <c r="BC127" s="32" t="str">
        <f t="shared" si="119"/>
        <v>1+0.726620626477125i</v>
      </c>
      <c r="BD127" s="32">
        <f t="shared" si="147"/>
        <v>1.2361138842444939</v>
      </c>
      <c r="BE127" s="32">
        <f t="shared" si="148"/>
        <v>0.62836964493301983</v>
      </c>
      <c r="BF127" s="59" t="str">
        <f t="shared" si="149"/>
        <v>-0.639031802183626+0.908048580616509i</v>
      </c>
      <c r="BG127" s="50">
        <f t="shared" si="150"/>
        <v>0.9093273795727691</v>
      </c>
      <c r="BH127" s="61">
        <f t="shared" si="151"/>
        <v>125.13565538854594</v>
      </c>
      <c r="BI127" s="59" t="str">
        <f t="shared" si="152"/>
        <v>-1.11407843716025+17.6090355225775i</v>
      </c>
      <c r="BJ127" s="64">
        <f t="shared" si="153"/>
        <v>24.932060491741034</v>
      </c>
      <c r="BK127" s="61">
        <f t="shared" si="154"/>
        <v>93.620131730746081</v>
      </c>
      <c r="BL127" s="59" t="str">
        <f t="shared" si="158"/>
        <v>-9.2332171979636+103.058508627367i</v>
      </c>
      <c r="BM127" s="64">
        <f t="shared" si="155"/>
        <v>40.296397533438004</v>
      </c>
      <c r="BN127" s="61">
        <f t="shared" si="159"/>
        <v>95.119574476179125</v>
      </c>
      <c r="BO127" s="50">
        <f t="shared" si="156"/>
        <v>24.932060491741034</v>
      </c>
      <c r="BP127" s="61">
        <f t="shared" si="157"/>
        <v>93.620131730746081</v>
      </c>
    </row>
    <row r="128" spans="14:68" x14ac:dyDescent="0.25">
      <c r="N128" s="11">
        <v>10</v>
      </c>
      <c r="O128" s="51">
        <f t="shared" si="160"/>
        <v>125.89254117941677</v>
      </c>
      <c r="P128" s="49" t="str">
        <f t="shared" si="107"/>
        <v>37.1583961085025</v>
      </c>
      <c r="Q128" s="18" t="str">
        <f t="shared" si="108"/>
        <v>1+0.619998477275153i</v>
      </c>
      <c r="R128" s="18">
        <f t="shared" si="121"/>
        <v>1.1766044840232033</v>
      </c>
      <c r="S128" s="18">
        <f t="shared" si="122"/>
        <v>0.55499462742101568</v>
      </c>
      <c r="T128" s="18" t="str">
        <f t="shared" si="109"/>
        <v>1+0.000711905548519811i</v>
      </c>
      <c r="U128" s="18">
        <f t="shared" si="123"/>
        <v>1.0000002534047228</v>
      </c>
      <c r="V128" s="18">
        <f t="shared" si="124"/>
        <v>7.1190542825301354E-4</v>
      </c>
      <c r="W128" s="32" t="str">
        <f t="shared" si="110"/>
        <v>1-0.0062312334614364i</v>
      </c>
      <c r="X128" s="18">
        <f t="shared" si="125"/>
        <v>1.0000194139467748</v>
      </c>
      <c r="Y128" s="18">
        <f t="shared" si="126"/>
        <v>-6.2311528139758713E-3</v>
      </c>
      <c r="Z128" s="32" t="str">
        <f t="shared" si="111"/>
        <v>0.999999603776702+0.00150027502632508i</v>
      </c>
      <c r="AA128" s="18">
        <f t="shared" si="127"/>
        <v>1.000000729189092</v>
      </c>
      <c r="AB128" s="18">
        <f t="shared" si="128"/>
        <v>1.5002744951504937E-3</v>
      </c>
      <c r="AC128" s="32" t="str">
        <f>IMDIV(IMSUM(COMPLEX(0,2*PI()*O128*Constants!$B$61*Constants!$B$62),COMPLEX(1,0)),IMSUM(COMPLEX(0,2*PI()*O128*Constants!$B$61*Constants!$B$62),COMPLEX(2,0)))</f>
        <v>0.500001251378374+0.000791004185325995i</v>
      </c>
      <c r="AD128" s="18">
        <f t="shared" si="129"/>
        <v>0.50000187706403787</v>
      </c>
      <c r="AE128" s="18">
        <f t="shared" si="130"/>
        <v>1.5820030915009264E-3</v>
      </c>
      <c r="AF128" s="66" t="str">
        <f t="shared" si="131"/>
        <v>13.375277340806-8.39367811759594i</v>
      </c>
      <c r="AG128" s="64">
        <f t="shared" si="132"/>
        <v>23.968126404801126</v>
      </c>
      <c r="AH128" s="61">
        <f t="shared" si="133"/>
        <v>-32.110396681313851</v>
      </c>
      <c r="AI128" s="50" t="str">
        <f t="shared" si="112"/>
        <v>107.538871525172</v>
      </c>
      <c r="AJ128" s="50" t="str">
        <f t="shared" si="113"/>
        <v>1+0.58940232101478i</v>
      </c>
      <c r="AK128" s="50">
        <f t="shared" si="134"/>
        <v>1.1607734904009523</v>
      </c>
      <c r="AL128" s="50">
        <f t="shared" si="135"/>
        <v>0.53259064505961218</v>
      </c>
      <c r="AM128" s="50" t="str">
        <f t="shared" si="114"/>
        <v>1+0.000711905548519811i</v>
      </c>
      <c r="AN128" s="50">
        <f t="shared" si="136"/>
        <v>1.0000002534047228</v>
      </c>
      <c r="AO128" s="50">
        <f t="shared" si="137"/>
        <v>7.1190542825301354E-4</v>
      </c>
      <c r="AP128" s="50" t="str">
        <f t="shared" si="115"/>
        <v>1-0.00204685184396294i</v>
      </c>
      <c r="AQ128" s="50">
        <f t="shared" si="138"/>
        <v>1.0000020947990416</v>
      </c>
      <c r="AR128" s="50">
        <f t="shared" si="139"/>
        <v>-2.046848985471611E-3</v>
      </c>
      <c r="AS128" s="59" t="str">
        <f t="shared" si="140"/>
        <v>79.7497443488715-47.1482430377189i</v>
      </c>
      <c r="AT128" s="50">
        <f t="shared" si="141"/>
        <v>39.336380269267231</v>
      </c>
      <c r="AU128" s="61">
        <f t="shared" si="142"/>
        <v>-30.591682801782653</v>
      </c>
      <c r="AV128" s="32" t="str">
        <f t="shared" si="116"/>
        <v>-0.0000333333333333333</v>
      </c>
      <c r="AW128" s="32" t="str">
        <f t="shared" si="117"/>
        <v>0.0000379682959210566i</v>
      </c>
      <c r="AX128" s="32">
        <f t="shared" si="143"/>
        <v>3.79682959210566E-5</v>
      </c>
      <c r="AY128" s="32">
        <f t="shared" si="144"/>
        <v>1.5707963267948966</v>
      </c>
      <c r="AZ128" s="32" t="str">
        <f t="shared" si="118"/>
        <v>1+0.0154905373983477i</v>
      </c>
      <c r="BA128" s="32">
        <f t="shared" si="145"/>
        <v>1.000119971177903</v>
      </c>
      <c r="BB128" s="32">
        <f t="shared" si="146"/>
        <v>1.548929855703959E-2</v>
      </c>
      <c r="BC128" s="32" t="str">
        <f t="shared" si="119"/>
        <v>1+0.743545795120693i</v>
      </c>
      <c r="BD128" s="32">
        <f t="shared" si="147"/>
        <v>1.246138174297563</v>
      </c>
      <c r="BE128" s="32">
        <f t="shared" si="148"/>
        <v>0.63935760465817504</v>
      </c>
      <c r="BF128" s="59" t="str">
        <f t="shared" si="149"/>
        <v>-0.639024902402703+0.887824290495176i</v>
      </c>
      <c r="BG128" s="50">
        <f t="shared" si="150"/>
        <v>0.77943480573409651</v>
      </c>
      <c r="BH128" s="61">
        <f t="shared" si="151"/>
        <v>125.74502091157088</v>
      </c>
      <c r="BI128" s="59" t="str">
        <f t="shared" si="152"/>
        <v>-1.09502397791814+17.2386654551737i</v>
      </c>
      <c r="BJ128" s="64">
        <f t="shared" si="153"/>
        <v>24.747561210535203</v>
      </c>
      <c r="BK128" s="61">
        <f t="shared" si="154"/>
        <v>93.634624230257032</v>
      </c>
      <c r="BL128" s="59" t="str">
        <f t="shared" si="158"/>
        <v>-9.10271717612122+100.932661599346i</v>
      </c>
      <c r="BM128" s="64">
        <f t="shared" si="155"/>
        <v>40.11581507500135</v>
      </c>
      <c r="BN128" s="61">
        <f t="shared" si="159"/>
        <v>95.153338109788208</v>
      </c>
      <c r="BO128" s="50">
        <f t="shared" si="156"/>
        <v>24.747561210535203</v>
      </c>
      <c r="BP128" s="61">
        <f t="shared" si="157"/>
        <v>93.634624230257032</v>
      </c>
    </row>
    <row r="129" spans="14:68" x14ac:dyDescent="0.25">
      <c r="N129" s="11">
        <v>11</v>
      </c>
      <c r="O129" s="51">
        <f t="shared" si="160"/>
        <v>128.82495516931343</v>
      </c>
      <c r="P129" s="49" t="str">
        <f t="shared" si="107"/>
        <v>37.1583961085025</v>
      </c>
      <c r="Q129" s="18" t="str">
        <f t="shared" si="108"/>
        <v>1+0.634440097020403i</v>
      </c>
      <c r="R129" s="18">
        <f t="shared" si="121"/>
        <v>1.1842779389599634</v>
      </c>
      <c r="S129" s="18">
        <f t="shared" si="122"/>
        <v>0.56535891709106278</v>
      </c>
      <c r="T129" s="18" t="str">
        <f t="shared" si="109"/>
        <v>1+0.00072848795896611i</v>
      </c>
      <c r="U129" s="18">
        <f t="shared" si="123"/>
        <v>1.0000002653473179</v>
      </c>
      <c r="V129" s="18">
        <f t="shared" si="124"/>
        <v>7.284878300979165E-4</v>
      </c>
      <c r="W129" s="32" t="str">
        <f t="shared" si="110"/>
        <v>1-0.00637637753435322i</v>
      </c>
      <c r="X129" s="18">
        <f t="shared" si="125"/>
        <v>1.0000203288885985</v>
      </c>
      <c r="Y129" s="18">
        <f t="shared" si="126"/>
        <v>-6.376291119137221E-3</v>
      </c>
      <c r="Z129" s="32" t="str">
        <f t="shared" si="111"/>
        <v>0.999999585103273+0.00153522092093228i</v>
      </c>
      <c r="AA129" s="18">
        <f t="shared" si="127"/>
        <v>1.0000007635547057</v>
      </c>
      <c r="AB129" s="18">
        <f t="shared" si="128"/>
        <v>1.535220351768478E-3</v>
      </c>
      <c r="AC129" s="32" t="str">
        <f>IMDIV(IMSUM(COMPLEX(0,2*PI()*O129*Constants!$B$61*Constants!$B$62),COMPLEX(1,0)),IMSUM(COMPLEX(0,2*PI()*O129*Constants!$B$61*Constants!$B$62),COMPLEX(2,0)))</f>
        <v>0.500001310353866+0.000809428944235649i</v>
      </c>
      <c r="AD129" s="18">
        <f t="shared" si="129"/>
        <v>0.50000196552693543</v>
      </c>
      <c r="AE129" s="18">
        <f t="shared" si="130"/>
        <v>1.6188522317616182E-3</v>
      </c>
      <c r="AF129" s="66" t="str">
        <f t="shared" si="131"/>
        <v>13.200410494461-8.47824948043384i</v>
      </c>
      <c r="AG129" s="64">
        <f t="shared" si="132"/>
        <v>23.911672892537045</v>
      </c>
      <c r="AH129" s="61">
        <f t="shared" si="133"/>
        <v>-32.711483397630239</v>
      </c>
      <c r="AI129" s="50" t="str">
        <f t="shared" si="112"/>
        <v>107.538871525172</v>
      </c>
      <c r="AJ129" s="50" t="str">
        <f t="shared" si="113"/>
        <v>1+0.603131264728436i</v>
      </c>
      <c r="AK129" s="50">
        <f t="shared" si="134"/>
        <v>1.167804488128438</v>
      </c>
      <c r="AL129" s="50">
        <f t="shared" si="135"/>
        <v>0.5427187205134989</v>
      </c>
      <c r="AM129" s="50" t="str">
        <f t="shared" si="114"/>
        <v>1+0.00072848795896611i</v>
      </c>
      <c r="AN129" s="50">
        <f t="shared" si="136"/>
        <v>1.0000002653473179</v>
      </c>
      <c r="AO129" s="50">
        <f t="shared" si="137"/>
        <v>7.284878300979165E-4</v>
      </c>
      <c r="AP129" s="50" t="str">
        <f t="shared" si="115"/>
        <v>1-0.00209452914816422i</v>
      </c>
      <c r="AQ129" s="50">
        <f t="shared" si="138"/>
        <v>1.0000021935237704</v>
      </c>
      <c r="AR129" s="50">
        <f t="shared" si="139"/>
        <v>-2.09452608523594E-3</v>
      </c>
      <c r="AS129" s="59" t="str">
        <f t="shared" si="140"/>
        <v>78.7894183505723-47.6672640649418i</v>
      </c>
      <c r="AT129" s="50">
        <f t="shared" si="141"/>
        <v>39.283928053966704</v>
      </c>
      <c r="AU129" s="61">
        <f t="shared" si="142"/>
        <v>-31.173760374836412</v>
      </c>
      <c r="AV129" s="32" t="str">
        <f t="shared" si="116"/>
        <v>-0.0000333333333333333</v>
      </c>
      <c r="AW129" s="32" t="str">
        <f t="shared" si="117"/>
        <v>0.0000388526911448592i</v>
      </c>
      <c r="AX129" s="32">
        <f t="shared" si="143"/>
        <v>3.8852691144859199E-5</v>
      </c>
      <c r="AY129" s="32">
        <f t="shared" si="144"/>
        <v>1.5707963267948966</v>
      </c>
      <c r="AZ129" s="32" t="str">
        <f t="shared" si="118"/>
        <v>1+0.0158513583663922i</v>
      </c>
      <c r="BA129" s="32">
        <f t="shared" si="145"/>
        <v>1.0001256248902235</v>
      </c>
      <c r="BB129" s="32">
        <f t="shared" si="146"/>
        <v>1.5850030933019649E-2</v>
      </c>
      <c r="BC129" s="32" t="str">
        <f t="shared" si="119"/>
        <v>1+0.760865201586827i</v>
      </c>
      <c r="BD129" s="32">
        <f t="shared" si="147"/>
        <v>1.2565491852632602</v>
      </c>
      <c r="BE129" s="32">
        <f t="shared" si="148"/>
        <v>0.65041864986148656</v>
      </c>
      <c r="BF129" s="59" t="str">
        <f t="shared" si="149"/>
        <v>-0.639017677604813+0.868070726489946i</v>
      </c>
      <c r="BG129" s="50">
        <f t="shared" si="150"/>
        <v>0.65165155363336902</v>
      </c>
      <c r="BH129" s="61">
        <f t="shared" si="151"/>
        <v>126.3581036760466</v>
      </c>
      <c r="BI129" s="59" t="str">
        <f t="shared" si="152"/>
        <v>-1.07557547175746+16.8766412210333i</v>
      </c>
      <c r="BJ129" s="64">
        <f t="shared" si="153"/>
        <v>24.563324446170405</v>
      </c>
      <c r="BK129" s="61">
        <f t="shared" si="154"/>
        <v>93.646620278416378</v>
      </c>
      <c r="BL129" s="59" t="str">
        <f t="shared" si="158"/>
        <v>-8.96927458757462+98.855012007856i</v>
      </c>
      <c r="BM129" s="64">
        <f t="shared" si="155"/>
        <v>39.935579607600069</v>
      </c>
      <c r="BN129" s="61">
        <f t="shared" si="159"/>
        <v>95.184343301210191</v>
      </c>
      <c r="BO129" s="50">
        <f t="shared" si="156"/>
        <v>24.563324446170405</v>
      </c>
      <c r="BP129" s="61">
        <f t="shared" si="157"/>
        <v>93.646620278416378</v>
      </c>
    </row>
    <row r="130" spans="14:68" x14ac:dyDescent="0.25">
      <c r="N130" s="11">
        <v>12</v>
      </c>
      <c r="O130" s="51">
        <f t="shared" si="160"/>
        <v>131.82567385564084</v>
      </c>
      <c r="P130" s="49" t="str">
        <f t="shared" si="107"/>
        <v>37.1583961085025</v>
      </c>
      <c r="Q130" s="18" t="str">
        <f t="shared" si="108"/>
        <v>1+0.649218105302901i</v>
      </c>
      <c r="R130" s="18">
        <f t="shared" si="121"/>
        <v>1.1922601009230698</v>
      </c>
      <c r="S130" s="18">
        <f t="shared" si="122"/>
        <v>0.57582536183978428</v>
      </c>
      <c r="T130" s="18" t="str">
        <f t="shared" si="109"/>
        <v>1+0.000745456623370931i</v>
      </c>
      <c r="U130" s="18">
        <f t="shared" si="123"/>
        <v>1.0000002778527501</v>
      </c>
      <c r="V130" s="18">
        <f t="shared" si="124"/>
        <v>7.4545648528617596E-4</v>
      </c>
      <c r="W130" s="32" t="str">
        <f t="shared" si="110"/>
        <v>1-0.00652490244704009i</v>
      </c>
      <c r="X130" s="18">
        <f t="shared" si="125"/>
        <v>1.0000212869494045</v>
      </c>
      <c r="Y130" s="18">
        <f t="shared" si="126"/>
        <v>-6.5248098515743348E-3</v>
      </c>
      <c r="Z130" s="32" t="str">
        <f t="shared" si="111"/>
        <v>0.999999565549793+0.00157098080999281i</v>
      </c>
      <c r="AA130" s="18">
        <f t="shared" si="127"/>
        <v>1.0000007995399205</v>
      </c>
      <c r="AB130" s="18">
        <f t="shared" si="128"/>
        <v>1.5709802001228315E-3</v>
      </c>
      <c r="AC130" s="32" t="str">
        <f>IMDIV(IMSUM(COMPLEX(0,2*PI()*O130*Constants!$B$61*Constants!$B$62),COMPLEX(1,0)),IMSUM(COMPLEX(0,2*PI()*O130*Constants!$B$61*Constants!$B$62),COMPLEX(2,0)))</f>
        <v>0.500001372108771+0.000828282864084207i</v>
      </c>
      <c r="AD130" s="18">
        <f t="shared" si="129"/>
        <v>0.50000205815892074</v>
      </c>
      <c r="AE130" s="18">
        <f t="shared" si="130"/>
        <v>1.6565596668977095E-3</v>
      </c>
      <c r="AF130" s="66" t="str">
        <f t="shared" si="131"/>
        <v>13.0220796535773-8.55995769328628i</v>
      </c>
      <c r="AG130" s="64">
        <f t="shared" si="132"/>
        <v>23.853335193298708</v>
      </c>
      <c r="AH130" s="61">
        <f t="shared" si="133"/>
        <v>-33.318592183957037</v>
      </c>
      <c r="AI130" s="50" t="str">
        <f t="shared" si="112"/>
        <v>107.538871525172</v>
      </c>
      <c r="AJ130" s="50" t="str">
        <f t="shared" si="113"/>
        <v>1+0.617179996622038i</v>
      </c>
      <c r="AK130" s="50">
        <f t="shared" si="134"/>
        <v>1.1751217588958085</v>
      </c>
      <c r="AL130" s="50">
        <f t="shared" si="135"/>
        <v>0.55295616836941841</v>
      </c>
      <c r="AM130" s="50" t="str">
        <f t="shared" si="114"/>
        <v>1+0.000745456623370931i</v>
      </c>
      <c r="AN130" s="50">
        <f t="shared" si="136"/>
        <v>1.0000002778527501</v>
      </c>
      <c r="AO130" s="50">
        <f t="shared" si="137"/>
        <v>7.4545648528617596E-4</v>
      </c>
      <c r="AP130" s="50" t="str">
        <f t="shared" si="115"/>
        <v>1-0.00214331699944423i</v>
      </c>
      <c r="AQ130" s="50">
        <f t="shared" si="138"/>
        <v>1.0000022969012423</v>
      </c>
      <c r="AR130" s="50">
        <f t="shared" si="139"/>
        <v>-2.1433137174578548E-3</v>
      </c>
      <c r="AS130" s="59" t="str">
        <f t="shared" si="140"/>
        <v>77.8082400994493-48.1720136891375i</v>
      </c>
      <c r="AT130" s="50">
        <f t="shared" si="141"/>
        <v>39.22967450336165</v>
      </c>
      <c r="AU130" s="61">
        <f t="shared" si="142"/>
        <v>-31.762146023058285</v>
      </c>
      <c r="AV130" s="32" t="str">
        <f t="shared" si="116"/>
        <v>-0.0000333333333333333</v>
      </c>
      <c r="AW130" s="32" t="str">
        <f t="shared" si="117"/>
        <v>0.0000397576865797829i</v>
      </c>
      <c r="AX130" s="32">
        <f t="shared" si="143"/>
        <v>3.9757686579782901E-5</v>
      </c>
      <c r="AY130" s="32">
        <f t="shared" si="144"/>
        <v>1.5707963267948966</v>
      </c>
      <c r="AZ130" s="32" t="str">
        <f t="shared" si="118"/>
        <v>1+0.0162205839344601i</v>
      </c>
      <c r="BA130" s="32">
        <f t="shared" si="145"/>
        <v>1.0001315450195414</v>
      </c>
      <c r="BB130" s="32">
        <f t="shared" si="146"/>
        <v>1.6219161574078846E-2</v>
      </c>
      <c r="BC130" s="32" t="str">
        <f t="shared" si="119"/>
        <v>1+0.778588028854084i</v>
      </c>
      <c r="BD130" s="32">
        <f t="shared" si="147"/>
        <v>1.2673591908669333</v>
      </c>
      <c r="BE130" s="32">
        <f t="shared" si="148"/>
        <v>0.66154781939922103</v>
      </c>
      <c r="BF130" s="59" t="str">
        <f t="shared" si="149"/>
        <v>-0.639010112487783+0.848777414279559i</v>
      </c>
      <c r="BG130" s="50">
        <f t="shared" si="150"/>
        <v>0.52600465405022201</v>
      </c>
      <c r="BH130" s="61">
        <f t="shared" si="151"/>
        <v>126.97460849222269</v>
      </c>
      <c r="BI130" s="59" t="str">
        <f t="shared" si="152"/>
        <v>-1.05574182700735+16.5227466253833i</v>
      </c>
      <c r="BJ130" s="64">
        <f t="shared" si="153"/>
        <v>24.379339847348916</v>
      </c>
      <c r="BK130" s="61">
        <f t="shared" si="154"/>
        <v>93.656016308265649</v>
      </c>
      <c r="BL130" s="59" t="str">
        <f t="shared" si="158"/>
        <v>-8.83293503871988+96.8242807275125i</v>
      </c>
      <c r="BM130" s="64">
        <f t="shared" si="155"/>
        <v>39.755679157411876</v>
      </c>
      <c r="BN130" s="61">
        <f t="shared" si="159"/>
        <v>95.212462469164407</v>
      </c>
      <c r="BO130" s="50">
        <f t="shared" si="156"/>
        <v>24.379339847348916</v>
      </c>
      <c r="BP130" s="61">
        <f t="shared" si="157"/>
        <v>93.656016308265649</v>
      </c>
    </row>
    <row r="131" spans="14:68" x14ac:dyDescent="0.25">
      <c r="N131" s="11">
        <v>13</v>
      </c>
      <c r="O131" s="51">
        <f t="shared" si="160"/>
        <v>134.89628825916537</v>
      </c>
      <c r="P131" s="49" t="str">
        <f t="shared" si="107"/>
        <v>37.1583961085025</v>
      </c>
      <c r="Q131" s="18" t="str">
        <f t="shared" si="108"/>
        <v>1+0.664340337618246i</v>
      </c>
      <c r="R131" s="18">
        <f t="shared" si="121"/>
        <v>1.2005615703439474</v>
      </c>
      <c r="S131" s="18">
        <f t="shared" si="122"/>
        <v>0.5863903383744562</v>
      </c>
      <c r="T131" s="18" t="str">
        <f t="shared" si="109"/>
        <v>1+0.000762820538744746i</v>
      </c>
      <c r="U131" s="18">
        <f t="shared" si="123"/>
        <v>1.0000002909475447</v>
      </c>
      <c r="V131" s="18">
        <f t="shared" si="124"/>
        <v>7.6282039078426746E-4</v>
      </c>
      <c r="W131" s="32" t="str">
        <f t="shared" si="110"/>
        <v>1-0.00667688694937166i</v>
      </c>
      <c r="X131" s="18">
        <f t="shared" si="125"/>
        <v>1.0000222901612417</v>
      </c>
      <c r="Y131" s="18">
        <f t="shared" si="126"/>
        <v>-6.676787731661968E-3</v>
      </c>
      <c r="Z131" s="32" t="str">
        <f t="shared" si="111"/>
        <v>0.999999545074785+0.00160757365387318i</v>
      </c>
      <c r="AA131" s="18">
        <f t="shared" si="127"/>
        <v>1.0000008372210643</v>
      </c>
      <c r="AB131" s="18">
        <f t="shared" si="128"/>
        <v>1.6075730003857517E-3</v>
      </c>
      <c r="AC131" s="32" t="str">
        <f>IMDIV(IMSUM(COMPLEX(0,2*PI()*O131*Constants!$B$61*Constants!$B$62),COMPLEX(1,0)),IMSUM(COMPLEX(0,2*PI()*O131*Constants!$B$61*Constants!$B$62),COMPLEX(2,0)))</f>
        <v>0.50000143677408+0.000847575940825767i</v>
      </c>
      <c r="AD131" s="18">
        <f t="shared" si="129"/>
        <v>0.50000215515647517</v>
      </c>
      <c r="AE131" s="18">
        <f t="shared" si="130"/>
        <v>1.6951453868862335E-3</v>
      </c>
      <c r="AF131" s="66" t="str">
        <f t="shared" si="131"/>
        <v>12.8403754965923-8.63863134624859i</v>
      </c>
      <c r="AG131" s="64">
        <f t="shared" si="132"/>
        <v>23.793076836504191</v>
      </c>
      <c r="AH131" s="61">
        <f t="shared" si="133"/>
        <v>-33.931519376766744</v>
      </c>
      <c r="AI131" s="50" t="str">
        <f t="shared" si="112"/>
        <v>107.538871525172</v>
      </c>
      <c r="AJ131" s="50" t="str">
        <f t="shared" si="113"/>
        <v>1+0.63155596551919i</v>
      </c>
      <c r="AK131" s="50">
        <f t="shared" si="134"/>
        <v>1.1827353624471013</v>
      </c>
      <c r="AL131" s="50">
        <f t="shared" si="135"/>
        <v>0.56329983271245099</v>
      </c>
      <c r="AM131" s="50" t="str">
        <f t="shared" si="114"/>
        <v>1+0.000762820538744746i</v>
      </c>
      <c r="AN131" s="50">
        <f t="shared" si="136"/>
        <v>1.0000002909475447</v>
      </c>
      <c r="AO131" s="50">
        <f t="shared" si="137"/>
        <v>7.6282039078426746E-4</v>
      </c>
      <c r="AP131" s="50" t="str">
        <f t="shared" si="115"/>
        <v>1-0.00219324126576749i</v>
      </c>
      <c r="AQ131" s="50">
        <f t="shared" si="138"/>
        <v>1.0000024051507326</v>
      </c>
      <c r="AR131" s="50">
        <f t="shared" si="139"/>
        <v>-2.1932377490561858E-3</v>
      </c>
      <c r="AS131" s="59" t="str">
        <f t="shared" si="140"/>
        <v>76.8065969405055-48.6614903197945i</v>
      </c>
      <c r="AT131" s="50">
        <f t="shared" si="141"/>
        <v>39.173581276277702</v>
      </c>
      <c r="AU131" s="61">
        <f t="shared" si="142"/>
        <v>-32.356659892420005</v>
      </c>
      <c r="AV131" s="32" t="str">
        <f t="shared" si="116"/>
        <v>-0.0000333333333333333</v>
      </c>
      <c r="AW131" s="32" t="str">
        <f t="shared" si="117"/>
        <v>0.0000406837620663864i</v>
      </c>
      <c r="AX131" s="32">
        <f t="shared" si="143"/>
        <v>4.0683762066386398E-5</v>
      </c>
      <c r="AY131" s="32">
        <f t="shared" si="144"/>
        <v>1.5707963267948966</v>
      </c>
      <c r="AZ131" s="32" t="str">
        <f t="shared" si="118"/>
        <v>1+0.0165984098708347i</v>
      </c>
      <c r="BA131" s="32">
        <f t="shared" si="145"/>
        <v>1.000137744118399</v>
      </c>
      <c r="BB131" s="32">
        <f t="shared" si="146"/>
        <v>1.6596885795563694E-2</v>
      </c>
      <c r="BC131" s="32" t="str">
        <f t="shared" si="119"/>
        <v>1+0.796723673800069i</v>
      </c>
      <c r="BD131" s="32">
        <f t="shared" si="147"/>
        <v>1.2785807023389173</v>
      </c>
      <c r="BE131" s="32">
        <f t="shared" si="148"/>
        <v>0.67273998706943172</v>
      </c>
      <c r="BF131" s="59" t="str">
        <f t="shared" si="149"/>
        <v>-0.639002191029753+0.829934123522896i</v>
      </c>
      <c r="BG131" s="50">
        <f t="shared" si="150"/>
        <v>0.40251934963993607</v>
      </c>
      <c r="BH131" s="61">
        <f t="shared" si="151"/>
        <v>127.59423045961756</v>
      </c>
      <c r="BI131" s="59" t="str">
        <f t="shared" si="152"/>
        <v>-1.03553314118099+16.1767701412204i</v>
      </c>
      <c r="BJ131" s="64">
        <f t="shared" si="153"/>
        <v>24.195596186144147</v>
      </c>
      <c r="BK131" s="61">
        <f t="shared" si="154"/>
        <v>93.662711082850805</v>
      </c>
      <c r="BL131" s="59" t="str">
        <f t="shared" si="158"/>
        <v>-8.6937524126456+94.8392146457166i</v>
      </c>
      <c r="BM131" s="64">
        <f t="shared" si="155"/>
        <v>39.57610062591764</v>
      </c>
      <c r="BN131" s="61">
        <f t="shared" si="159"/>
        <v>95.237570567197579</v>
      </c>
      <c r="BO131" s="50">
        <f t="shared" si="156"/>
        <v>24.195596186144147</v>
      </c>
      <c r="BP131" s="61">
        <f t="shared" si="157"/>
        <v>93.662711082850805</v>
      </c>
    </row>
    <row r="132" spans="14:68" x14ac:dyDescent="0.25">
      <c r="N132" s="11">
        <v>14</v>
      </c>
      <c r="O132" s="51">
        <f t="shared" si="160"/>
        <v>138.0384264602886</v>
      </c>
      <c r="P132" s="49" t="str">
        <f t="shared" si="107"/>
        <v>37.1583961085025</v>
      </c>
      <c r="Q132" s="18" t="str">
        <f t="shared" si="108"/>
        <v>1+0.679814811974182i</v>
      </c>
      <c r="R132" s="18">
        <f t="shared" si="121"/>
        <v>1.2091931932406386</v>
      </c>
      <c r="S132" s="18">
        <f t="shared" si="122"/>
        <v>0.59705001423818005</v>
      </c>
      <c r="T132" s="18" t="str">
        <f t="shared" si="109"/>
        <v>1+0.000780588911665328i</v>
      </c>
      <c r="U132" s="18">
        <f t="shared" si="123"/>
        <v>1.0000003046594781</v>
      </c>
      <c r="V132" s="18">
        <f t="shared" si="124"/>
        <v>7.8058875312282151E-4</v>
      </c>
      <c r="W132" s="32" t="str">
        <f t="shared" si="110"/>
        <v>1-0.00683241162554285i</v>
      </c>
      <c r="X132" s="18">
        <f t="shared" si="125"/>
        <v>1.0000233406519174</v>
      </c>
      <c r="Y132" s="18">
        <f t="shared" si="126"/>
        <v>-6.8323053119855089E-3</v>
      </c>
      <c r="Z132" s="32" t="str">
        <f t="shared" si="111"/>
        <v>0.99999952363482+0.0016450188545836i</v>
      </c>
      <c r="AA132" s="18">
        <f t="shared" si="127"/>
        <v>1.0000008766780653</v>
      </c>
      <c r="AB132" s="18">
        <f t="shared" si="128"/>
        <v>1.6450181543592346E-3</v>
      </c>
      <c r="AC132" s="32" t="str">
        <f>IMDIV(IMSUM(COMPLEX(0,2*PI()*O132*Constants!$B$61*Constants!$B$62),COMPLEX(1,0)),IMSUM(COMPLEX(0,2*PI()*O132*Constants!$B$61*Constants!$B$62),COMPLEX(2,0)))</f>
        <v>0.500001504486952+0.00086731840321518i</v>
      </c>
      <c r="AD132" s="18">
        <f t="shared" si="129"/>
        <v>0.50000225672533516</v>
      </c>
      <c r="AE132" s="18">
        <f t="shared" si="130"/>
        <v>1.7346298471676348E-3</v>
      </c>
      <c r="AF132" s="66" t="str">
        <f t="shared" si="131"/>
        <v>12.6553994474792-8.71410148877541i</v>
      </c>
      <c r="AG132" s="64">
        <f t="shared" si="132"/>
        <v>23.730862377515326</v>
      </c>
      <c r="AH132" s="61">
        <f t="shared" si="133"/>
        <v>-34.550049419912803</v>
      </c>
      <c r="AI132" s="50" t="str">
        <f t="shared" si="112"/>
        <v>107.538871525172</v>
      </c>
      <c r="AJ132" s="50" t="str">
        <f t="shared" si="113"/>
        <v>1+0.646266793748893i</v>
      </c>
      <c r="AK132" s="50">
        <f t="shared" si="134"/>
        <v>1.1906556045735788</v>
      </c>
      <c r="AL132" s="50">
        <f t="shared" si="135"/>
        <v>0.57374634407736769</v>
      </c>
      <c r="AM132" s="50" t="str">
        <f t="shared" si="114"/>
        <v>1+0.000780588911665328i</v>
      </c>
      <c r="AN132" s="50">
        <f t="shared" si="136"/>
        <v>1.0000003046594781</v>
      </c>
      <c r="AO132" s="50">
        <f t="shared" si="137"/>
        <v>7.8058875312282151E-4</v>
      </c>
      <c r="AP132" s="50" t="str">
        <f t="shared" si="115"/>
        <v>1-0.00224432841764084i</v>
      </c>
      <c r="AQ132" s="50">
        <f t="shared" si="138"/>
        <v>1.0000025185018517</v>
      </c>
      <c r="AR132" s="50">
        <f t="shared" si="139"/>
        <v>-2.2443246494172997E-3</v>
      </c>
      <c r="AS132" s="59" t="str">
        <f t="shared" si="140"/>
        <v>75.7849368145765-49.1346970242982i</v>
      </c>
      <c r="AT132" s="50">
        <f t="shared" si="141"/>
        <v>39.115610806477562</v>
      </c>
      <c r="AU132" s="61">
        <f t="shared" si="142"/>
        <v>-32.957109915873396</v>
      </c>
      <c r="AV132" s="32" t="str">
        <f t="shared" si="116"/>
        <v>-0.0000333333333333333</v>
      </c>
      <c r="AW132" s="32" t="str">
        <f t="shared" si="117"/>
        <v>0.0000416314086221508i</v>
      </c>
      <c r="AX132" s="32">
        <f t="shared" si="143"/>
        <v>4.16314086221508E-5</v>
      </c>
      <c r="AY132" s="32">
        <f t="shared" si="144"/>
        <v>1.5707963267948966</v>
      </c>
      <c r="AZ132" s="32" t="str">
        <f t="shared" si="118"/>
        <v>1+0.0169850365038289i</v>
      </c>
      <c r="BA132" s="32">
        <f t="shared" si="145"/>
        <v>1.0001442353306029</v>
      </c>
      <c r="BB132" s="32">
        <f t="shared" si="146"/>
        <v>1.6983403440472923E-2</v>
      </c>
      <c r="BC132" s="32" t="str">
        <f t="shared" si="119"/>
        <v>1+0.815281752183789i</v>
      </c>
      <c r="BD132" s="32">
        <f t="shared" si="147"/>
        <v>1.2902264667273993</v>
      </c>
      <c r="BE132" s="32">
        <f t="shared" si="148"/>
        <v>0.68398987182946724</v>
      </c>
      <c r="BF132" s="59" t="str">
        <f t="shared" si="149"/>
        <v>-0.638993896455403+0.811530862431029i</v>
      </c>
      <c r="BG132" s="50">
        <f t="shared" si="150"/>
        <v>0.28121899785227922</v>
      </c>
      <c r="BH132" s="61">
        <f t="shared" si="151"/>
        <v>128.21665554661547</v>
      </c>
      <c r="BI132" s="59" t="str">
        <f t="shared" si="152"/>
        <v>-1.01496070764687+15.8385048924424i</v>
      </c>
      <c r="BJ132" s="64">
        <f t="shared" si="153"/>
        <v>24.012081375367607</v>
      </c>
      <c r="BK132" s="61">
        <f t="shared" si="154"/>
        <v>93.666606126702675</v>
      </c>
      <c r="BL132" s="59" t="str">
        <f t="shared" si="158"/>
        <v>-8.55178901635672+92.8985866351263i</v>
      </c>
      <c r="BM132" s="64">
        <f t="shared" si="155"/>
        <v>39.39682980432984</v>
      </c>
      <c r="BN132" s="61">
        <f t="shared" si="159"/>
        <v>95.259545630742068</v>
      </c>
      <c r="BO132" s="50">
        <f t="shared" si="156"/>
        <v>24.012081375367607</v>
      </c>
      <c r="BP132" s="61">
        <f t="shared" si="157"/>
        <v>93.666606126702675</v>
      </c>
    </row>
    <row r="133" spans="14:68" x14ac:dyDescent="0.25">
      <c r="N133" s="11">
        <v>15</v>
      </c>
      <c r="O133" s="51">
        <f t="shared" si="160"/>
        <v>141.25375446227542</v>
      </c>
      <c r="P133" s="49" t="str">
        <f t="shared" si="107"/>
        <v>37.1583961085025</v>
      </c>
      <c r="Q133" s="18" t="str">
        <f t="shared" si="108"/>
        <v>1+0.695649733141838i</v>
      </c>
      <c r="R133" s="18">
        <f t="shared" si="121"/>
        <v>1.2181660606092712</v>
      </c>
      <c r="S133" s="18">
        <f t="shared" si="122"/>
        <v>0.60780035131211951</v>
      </c>
      <c r="T133" s="18" t="str">
        <f t="shared" si="109"/>
        <v>1+0.00079877116315919i</v>
      </c>
      <c r="U133" s="18">
        <f t="shared" si="123"/>
        <v>1.0000003190176348</v>
      </c>
      <c r="V133" s="18">
        <f t="shared" si="124"/>
        <v>7.9877099327783658E-4</v>
      </c>
      <c r="W133" s="32" t="str">
        <f t="shared" si="110"/>
        <v>1-0.00699155893679555i</v>
      </c>
      <c r="X133" s="18">
        <f t="shared" si="125"/>
        <v>1.0000244406495107</v>
      </c>
      <c r="Y133" s="18">
        <f t="shared" si="126"/>
        <v>-6.9914450199168188E-3</v>
      </c>
      <c r="Z133" s="32" t="str">
        <f t="shared" si="111"/>
        <v>0.999999501184421+0.00168333626606511i</v>
      </c>
      <c r="AA133" s="18">
        <f t="shared" si="127"/>
        <v>1.0000009179946165</v>
      </c>
      <c r="AB133" s="18">
        <f t="shared" si="128"/>
        <v>1.6833355157612178E-3</v>
      </c>
      <c r="AC133" s="32" t="str">
        <f>IMDIV(IMSUM(COMPLEX(0,2*PI()*O133*Constants!$B$61*Constants!$B$62),COMPLEX(1,0)),IMSUM(COMPLEX(0,2*PI()*O133*Constants!$B$61*Constants!$B$62),COMPLEX(2,0)))</f>
        <v>0.500001575391014+0.000887520718228183i</v>
      </c>
      <c r="AD133" s="18">
        <f t="shared" si="129"/>
        <v>0.50000236308093693</v>
      </c>
      <c r="AE133" s="18">
        <f t="shared" si="130"/>
        <v>1.7750339794761309E-3</v>
      </c>
      <c r="AF133" s="66" t="str">
        <f t="shared" si="131"/>
        <v>12.4672636726954-8.78620241522742i</v>
      </c>
      <c r="AG133" s="64">
        <f t="shared" si="132"/>
        <v>23.666657512394028</v>
      </c>
      <c r="AH133" s="61">
        <f t="shared" si="133"/>
        <v>-35.173955067421161</v>
      </c>
      <c r="AI133" s="50" t="str">
        <f t="shared" si="112"/>
        <v>107.538871525172</v>
      </c>
      <c r="AJ133" s="50" t="str">
        <f t="shared" si="113"/>
        <v>1+0.661320281186994i</v>
      </c>
      <c r="AK133" s="50">
        <f t="shared" si="134"/>
        <v>1.1988930370592887</v>
      </c>
      <c r="AL133" s="50">
        <f t="shared" si="135"/>
        <v>0.5842921208923062</v>
      </c>
      <c r="AM133" s="50" t="str">
        <f t="shared" si="114"/>
        <v>1+0.00079877116315919i</v>
      </c>
      <c r="AN133" s="50">
        <f t="shared" si="136"/>
        <v>1.0000003190176348</v>
      </c>
      <c r="AO133" s="50">
        <f t="shared" si="137"/>
        <v>7.9877099327783658E-4</v>
      </c>
      <c r="AP133" s="50" t="str">
        <f t="shared" si="115"/>
        <v>1-0.00229660554214843i</v>
      </c>
      <c r="AQ133" s="50">
        <f t="shared" si="138"/>
        <v>1.0000026371950308</v>
      </c>
      <c r="AR133" s="50">
        <f t="shared" si="139"/>
        <v>-2.2966015044247352E-3</v>
      </c>
      <c r="AS133" s="59" t="str">
        <f t="shared" si="140"/>
        <v>74.7437690062217-49.5906457550183i</v>
      </c>
      <c r="AT133" s="50">
        <f t="shared" si="141"/>
        <v>39.05572641585173</v>
      </c>
      <c r="AU133" s="61">
        <f t="shared" si="142"/>
        <v>-33.563291896591423</v>
      </c>
      <c r="AV133" s="32" t="str">
        <f t="shared" si="116"/>
        <v>-0.0000333333333333333</v>
      </c>
      <c r="AW133" s="32" t="str">
        <f t="shared" si="117"/>
        <v>0.0000426011287018235i</v>
      </c>
      <c r="AX133" s="32">
        <f t="shared" si="143"/>
        <v>4.2601128701823498E-5</v>
      </c>
      <c r="AY133" s="32">
        <f t="shared" si="144"/>
        <v>1.5707963267948966</v>
      </c>
      <c r="AZ133" s="32" t="str">
        <f t="shared" si="118"/>
        <v>1+0.0173806688280009i</v>
      </c>
      <c r="BA133" s="32">
        <f t="shared" si="145"/>
        <v>1.0001510324190586</v>
      </c>
      <c r="BB133" s="32">
        <f t="shared" si="146"/>
        <v>1.7378918983359585E-2</v>
      </c>
      <c r="BC133" s="32" t="str">
        <f t="shared" si="119"/>
        <v>1+0.834272103744045i</v>
      </c>
      <c r="BD133" s="32">
        <f t="shared" si="147"/>
        <v>1.3023094651754301</v>
      </c>
      <c r="BE133" s="32">
        <f t="shared" si="148"/>
        <v>0.69529204890765262</v>
      </c>
      <c r="BF133" s="59" t="str">
        <f t="shared" si="149"/>
        <v>-0.638985211200603+0.793557872465509i</v>
      </c>
      <c r="BG133" s="50">
        <f t="shared" si="150"/>
        <v>0.16212497944244375</v>
      </c>
      <c r="BH133" s="61">
        <f t="shared" si="151"/>
        <v>128.84156122116588</v>
      </c>
      <c r="BI133" s="59" t="str">
        <f t="shared" si="152"/>
        <v>-0.994037015311688+15.507748641516i</v>
      </c>
      <c r="BJ133" s="64">
        <f t="shared" si="153"/>
        <v>23.828782491836449</v>
      </c>
      <c r="BK133" s="61">
        <f t="shared" si="154"/>
        <v>93.667606153744728</v>
      </c>
      <c r="BL133" s="59" t="str">
        <f t="shared" si="158"/>
        <v>-8.40711568482661+91.0011955639754i</v>
      </c>
      <c r="BM133" s="64">
        <f t="shared" si="155"/>
        <v>39.217851395294176</v>
      </c>
      <c r="BN133" s="61">
        <f t="shared" si="159"/>
        <v>95.278269324574467</v>
      </c>
      <c r="BO133" s="50">
        <f t="shared" si="156"/>
        <v>23.828782491836449</v>
      </c>
      <c r="BP133" s="61">
        <f t="shared" si="157"/>
        <v>93.667606153744728</v>
      </c>
    </row>
    <row r="134" spans="14:68" x14ac:dyDescent="0.25">
      <c r="N134" s="11">
        <v>16</v>
      </c>
      <c r="O134" s="51">
        <f t="shared" si="160"/>
        <v>144.54397707459285</v>
      </c>
      <c r="P134" s="49" t="str">
        <f t="shared" si="107"/>
        <v>37.1583961085025</v>
      </c>
      <c r="Q134" s="18" t="str">
        <f t="shared" si="108"/>
        <v>1+0.71185349700602i</v>
      </c>
      <c r="R134" s="18">
        <f t="shared" si="121"/>
        <v>1.2274915075876083</v>
      </c>
      <c r="S134" s="18">
        <f t="shared" si="122"/>
        <v>0.6186371102921846</v>
      </c>
      <c r="T134" s="18" t="str">
        <f t="shared" si="109"/>
        <v>1+0.000817376933696747i</v>
      </c>
      <c r="U134" s="18">
        <f t="shared" si="123"/>
        <v>1.0000003340524701</v>
      </c>
      <c r="V134" s="18">
        <f t="shared" si="124"/>
        <v>8.173767516656004E-4</v>
      </c>
      <c r="W134" s="32" t="str">
        <f t="shared" si="110"/>
        <v>1-0.00715441326514077i</v>
      </c>
      <c r="X134" s="18">
        <f t="shared" si="125"/>
        <v>1.0000255924870967</v>
      </c>
      <c r="Y134" s="18">
        <f t="shared" si="126"/>
        <v>-7.1542912011747315E-3</v>
      </c>
      <c r="Z134" s="32" t="str">
        <f t="shared" si="111"/>
        <v>0.999999477675967+0.00172254620471648i</v>
      </c>
      <c r="AA134" s="18">
        <f t="shared" si="127"/>
        <v>1.0000009612583551</v>
      </c>
      <c r="AB134" s="18">
        <f t="shared" si="128"/>
        <v>1.7225454007514121E-3</v>
      </c>
      <c r="AC134" s="32" t="str">
        <f>IMDIV(IMSUM(COMPLEX(0,2*PI()*O134*Constants!$B$61*Constants!$B$62),COMPLEX(1,0)),IMSUM(COMPLEX(0,2*PI()*O134*Constants!$B$61*Constants!$B$62),COMPLEX(2,0)))</f>
        <v>0.50000164963666+0.000908193596607596i</v>
      </c>
      <c r="AD134" s="18">
        <f t="shared" si="129"/>
        <v>0.50000247444886736</v>
      </c>
      <c r="AE134" s="18">
        <f t="shared" si="130"/>
        <v>1.8163792029215389E-3</v>
      </c>
      <c r="AF134" s="66" t="str">
        <f t="shared" si="131"/>
        <v>12.2760910120207-8.85477246458516i</v>
      </c>
      <c r="AG134" s="64">
        <f t="shared" si="132"/>
        <v>23.600429192278533</v>
      </c>
      <c r="AH134" s="61">
        <f t="shared" si="133"/>
        <v>-35.802997642163696</v>
      </c>
      <c r="AI134" s="50" t="str">
        <f t="shared" si="112"/>
        <v>107.538871525172</v>
      </c>
      <c r="AJ134" s="50" t="str">
        <f t="shared" si="113"/>
        <v>1+0.676724409391789i</v>
      </c>
      <c r="AK134" s="50">
        <f t="shared" si="134"/>
        <v>1.2074584573668221</v>
      </c>
      <c r="AL134" s="50">
        <f t="shared" si="135"/>
        <v>0.59493337184199202</v>
      </c>
      <c r="AM134" s="50" t="str">
        <f t="shared" si="114"/>
        <v>1+0.000817376933696747i</v>
      </c>
      <c r="AN134" s="50">
        <f t="shared" si="136"/>
        <v>1.0000003340524701</v>
      </c>
      <c r="AO134" s="50">
        <f t="shared" si="137"/>
        <v>8.173767516656004E-4</v>
      </c>
      <c r="AP134" s="50" t="str">
        <f t="shared" si="115"/>
        <v>1-0.00235010035731363i</v>
      </c>
      <c r="AQ134" s="50">
        <f t="shared" si="138"/>
        <v>1.0000027614820319</v>
      </c>
      <c r="AR134" s="50">
        <f t="shared" si="139"/>
        <v>-2.350096030815387E-3</v>
      </c>
      <c r="AS134" s="59" t="str">
        <f t="shared" si="140"/>
        <v>73.6836645565242-50.0283617261725i</v>
      </c>
      <c r="AT134" s="50">
        <f t="shared" si="141"/>
        <v>38.993892428689179</v>
      </c>
      <c r="AU134" s="61">
        <f t="shared" si="142"/>
        <v>-34.174989643907011</v>
      </c>
      <c r="AV134" s="32" t="str">
        <f t="shared" si="116"/>
        <v>-0.0000333333333333333</v>
      </c>
      <c r="AW134" s="32" t="str">
        <f t="shared" si="117"/>
        <v>0.0000435934364638265i</v>
      </c>
      <c r="AX134" s="32">
        <f t="shared" si="143"/>
        <v>4.3593436463826501E-5</v>
      </c>
      <c r="AY134" s="32">
        <f t="shared" si="144"/>
        <v>1.5707963267948966</v>
      </c>
      <c r="AZ134" s="32" t="str">
        <f t="shared" si="118"/>
        <v>1+0.0177855166128459i</v>
      </c>
      <c r="BA134" s="32">
        <f t="shared" si="145"/>
        <v>1.0001581497949141</v>
      </c>
      <c r="BB134" s="32">
        <f t="shared" si="146"/>
        <v>1.77836416365439E-2</v>
      </c>
      <c r="BC134" s="32" t="str">
        <f t="shared" si="119"/>
        <v>1+0.853704797416604i</v>
      </c>
      <c r="BD134" s="32">
        <f t="shared" si="147"/>
        <v>1.3148429111997086</v>
      </c>
      <c r="BE134" s="32">
        <f t="shared" si="148"/>
        <v>0.70664096176167412</v>
      </c>
      <c r="BF134" s="59" t="str">
        <f t="shared" si="149"/>
        <v>-0.638976116875403+0.776005623160049i</v>
      </c>
      <c r="BG134" s="50">
        <f t="shared" si="150"/>
        <v>4.5256613301576085E-2</v>
      </c>
      <c r="BH134" s="61">
        <f t="shared" si="151"/>
        <v>129.46861712986225</v>
      </c>
      <c r="BI134" s="59" t="str">
        <f t="shared" si="152"/>
        <v>-0.972775740949174+15.1843037809885i</v>
      </c>
      <c r="BJ134" s="64">
        <f t="shared" si="153"/>
        <v>23.645685805580126</v>
      </c>
      <c r="BK134" s="61">
        <f t="shared" si="154"/>
        <v>93.66561948769855</v>
      </c>
      <c r="BL134" s="59" t="str">
        <f t="shared" si="158"/>
        <v>-8.25981183848277+89.1458663403293i</v>
      </c>
      <c r="BM134" s="64">
        <f t="shared" si="155"/>
        <v>39.039149041990754</v>
      </c>
      <c r="BN134" s="61">
        <f t="shared" si="159"/>
        <v>95.293627485955255</v>
      </c>
      <c r="BO134" s="50">
        <f t="shared" si="156"/>
        <v>23.645685805580126</v>
      </c>
      <c r="BP134" s="61">
        <f t="shared" si="157"/>
        <v>93.66561948769855</v>
      </c>
    </row>
    <row r="135" spans="14:68" x14ac:dyDescent="0.25">
      <c r="N135" s="11">
        <v>17</v>
      </c>
      <c r="O135" s="51">
        <f t="shared" si="160"/>
        <v>147.91083881682084</v>
      </c>
      <c r="P135" s="49" t="str">
        <f t="shared" si="107"/>
        <v>37.1583961085025</v>
      </c>
      <c r="Q135" s="18" t="str">
        <f t="shared" si="108"/>
        <v>1+0.728434695016809i</v>
      </c>
      <c r="R135" s="18">
        <f t="shared" si="121"/>
        <v>1.2371811124100753</v>
      </c>
      <c r="S135" s="18">
        <f t="shared" si="122"/>
        <v>0.62955585615374432</v>
      </c>
      <c r="T135" s="18" t="str">
        <f t="shared" si="109"/>
        <v>1+0.000836416088303812i</v>
      </c>
      <c r="U135" s="18">
        <f t="shared" si="123"/>
        <v>1.0000003497958752</v>
      </c>
      <c r="V135" s="18">
        <f t="shared" si="124"/>
        <v>8.3641589325392804E-4</v>
      </c>
      <c r="W135" s="32" t="str">
        <f t="shared" si="110"/>
        <v>1-0.00732106095809902i</v>
      </c>
      <c r="X135" s="18">
        <f t="shared" si="125"/>
        <v>1.0000267986076934</v>
      </c>
      <c r="Y135" s="18">
        <f t="shared" si="126"/>
        <v>-7.3209301643922366E-3</v>
      </c>
      <c r="Z135" s="32" t="str">
        <f t="shared" si="111"/>
        <v>0.999999453059594+0.00176266946016618i</v>
      </c>
      <c r="AA135" s="18">
        <f t="shared" si="127"/>
        <v>1.0000010065610501</v>
      </c>
      <c r="AB135" s="18">
        <f t="shared" si="128"/>
        <v>1.7626685987021306E-3</v>
      </c>
      <c r="AC135" s="32" t="str">
        <f>IMDIV(IMSUM(COMPLEX(0,2*PI()*O135*Constants!$B$61*Constants!$B$62),COMPLEX(1,0)),IMSUM(COMPLEX(0,2*PI()*O135*Constants!$B$61*Constants!$B$62),COMPLEX(2,0)))</f>
        <v>0.500001727381372+0.000929347998538523i</v>
      </c>
      <c r="AD135" s="18">
        <f t="shared" si="129"/>
        <v>0.50000259106534473</v>
      </c>
      <c r="AE135" s="18">
        <f t="shared" si="130"/>
        <v>1.8586874353283341E-3</v>
      </c>
      <c r="AF135" s="66" t="str">
        <f t="shared" si="131"/>
        <v>12.0820148405774-8.91965482809376i</v>
      </c>
      <c r="AG135" s="64">
        <f t="shared" si="132"/>
        <v>23.532145736658197</v>
      </c>
      <c r="AH135" s="61">
        <f t="shared" si="133"/>
        <v>-36.436927351190931</v>
      </c>
      <c r="AI135" s="50" t="str">
        <f t="shared" si="112"/>
        <v>107.538871525172</v>
      </c>
      <c r="AJ135" s="50" t="str">
        <f t="shared" si="113"/>
        <v>1+0.69248734583595i</v>
      </c>
      <c r="AK135" s="50">
        <f t="shared" si="134"/>
        <v>1.216362908075924</v>
      </c>
      <c r="AL135" s="50">
        <f t="shared" si="135"/>
        <v>0.60566609917943304</v>
      </c>
      <c r="AM135" s="50" t="str">
        <f t="shared" si="114"/>
        <v>1+0.000836416088303812i</v>
      </c>
      <c r="AN135" s="50">
        <f t="shared" si="136"/>
        <v>1.0000003497958752</v>
      </c>
      <c r="AO135" s="50">
        <f t="shared" si="137"/>
        <v>8.3641589325392804E-4</v>
      </c>
      <c r="AP135" s="50" t="str">
        <f t="shared" si="115"/>
        <v>1-0.00240484122679553i</v>
      </c>
      <c r="AQ135" s="50">
        <f t="shared" si="138"/>
        <v>1.0000028916264823</v>
      </c>
      <c r="AR135" s="50">
        <f t="shared" si="139"/>
        <v>-2.4048365908698622E-3</v>
      </c>
      <c r="AS135" s="59" t="str">
        <f t="shared" si="140"/>
        <v>72.6052563186325-50.4468879112938i</v>
      </c>
      <c r="AT135" s="50">
        <f t="shared" si="141"/>
        <v>38.930074286385747</v>
      </c>
      <c r="AU135" s="61">
        <f t="shared" si="142"/>
        <v>-34.791975163607823</v>
      </c>
      <c r="AV135" s="32" t="str">
        <f t="shared" si="116"/>
        <v>-0.0000333333333333333</v>
      </c>
      <c r="AW135" s="32" t="str">
        <f t="shared" si="117"/>
        <v>0.0000446088580428699i</v>
      </c>
      <c r="AX135" s="32">
        <f t="shared" si="143"/>
        <v>4.46088580428699E-5</v>
      </c>
      <c r="AY135" s="32">
        <f t="shared" si="144"/>
        <v>1.5707963267948966</v>
      </c>
      <c r="AZ135" s="32" t="str">
        <f t="shared" si="118"/>
        <v>1+0.0181997945140181i</v>
      </c>
      <c r="BA135" s="32">
        <f t="shared" si="145"/>
        <v>1.0001656025480743</v>
      </c>
      <c r="BB135" s="32">
        <f t="shared" si="146"/>
        <v>1.8197785458679408E-2</v>
      </c>
      <c r="BC135" s="32" t="str">
        <f t="shared" si="119"/>
        <v>1+0.873590136672872i</v>
      </c>
      <c r="BD135" s="32">
        <f t="shared" si="147"/>
        <v>1.3278402490104475</v>
      </c>
      <c r="BE135" s="32">
        <f t="shared" si="148"/>
        <v>0.71803093482718006</v>
      </c>
      <c r="BF135" s="59" t="str">
        <f t="shared" si="149"/>
        <v>-0.638966594225316+0.758864807062819i</v>
      </c>
      <c r="BG135" s="50">
        <f t="shared" si="150"/>
        <v>-6.9368921700572378E-2</v>
      </c>
      <c r="BH135" s="61">
        <f t="shared" si="151"/>
        <v>130.09748582216363</v>
      </c>
      <c r="BI135" s="59" t="str">
        <f t="shared" si="152"/>
        <v>-0.951191733875152+14.8679773280973i</v>
      </c>
      <c r="BJ135" s="64">
        <f t="shared" si="153"/>
        <v>23.462776814957596</v>
      </c>
      <c r="BK135" s="61">
        <f t="shared" si="154"/>
        <v>93.660558470972745</v>
      </c>
      <c r="BL135" s="59" t="str">
        <f t="shared" si="158"/>
        <v>-8.10996549104908+87.3314499859312i</v>
      </c>
      <c r="BM135" s="64">
        <f t="shared" si="155"/>
        <v>38.860705364685167</v>
      </c>
      <c r="BN135" s="61">
        <f t="shared" si="159"/>
        <v>95.305510658555818</v>
      </c>
      <c r="BO135" s="50">
        <f t="shared" si="156"/>
        <v>23.462776814957596</v>
      </c>
      <c r="BP135" s="61">
        <f t="shared" si="157"/>
        <v>93.660558470972745</v>
      </c>
    </row>
    <row r="136" spans="14:68" x14ac:dyDescent="0.25">
      <c r="N136" s="11">
        <v>18</v>
      </c>
      <c r="O136" s="51">
        <f t="shared" si="160"/>
        <v>151.3561248436209</v>
      </c>
      <c r="P136" s="49" t="str">
        <f t="shared" si="107"/>
        <v>37.1583961085025</v>
      </c>
      <c r="Q136" s="18" t="str">
        <f t="shared" si="108"/>
        <v>1+0.745402118744869i</v>
      </c>
      <c r="R136" s="18">
        <f t="shared" si="121"/>
        <v>1.247246695176756</v>
      </c>
      <c r="S136" s="18">
        <f t="shared" si="122"/>
        <v>0.64055196461008912</v>
      </c>
      <c r="T136" s="18" t="str">
        <f t="shared" si="109"/>
        <v>1+0.000855898721792171i</v>
      </c>
      <c r="U136" s="18">
        <f t="shared" si="123"/>
        <v>1.0000003662812438</v>
      </c>
      <c r="V136" s="18">
        <f t="shared" si="124"/>
        <v>8.558985127924589E-4</v>
      </c>
      <c r="W136" s="32" t="str">
        <f t="shared" si="110"/>
        <v>1-0.00749159037448295i</v>
      </c>
      <c r="X136" s="18">
        <f t="shared" si="125"/>
        <v>1.0000280615694437</v>
      </c>
      <c r="Y136" s="18">
        <f t="shared" si="126"/>
        <v>-7.4914502267135257E-3</v>
      </c>
      <c r="Z136" s="32" t="str">
        <f t="shared" si="111"/>
        <v>0.999999427283087+0.00180372730629535i</v>
      </c>
      <c r="AA136" s="18">
        <f t="shared" si="127"/>
        <v>1.0000010539987931</v>
      </c>
      <c r="AB136" s="18">
        <f t="shared" si="128"/>
        <v>1.8037263832200372E-3</v>
      </c>
      <c r="AC136" s="32" t="str">
        <f>IMDIV(IMSUM(COMPLEX(0,2*PI()*O136*Constants!$B$61*Constants!$B$62),COMPLEX(1,0)),IMSUM(COMPLEX(0,2*PI()*O136*Constants!$B$61*Constants!$B$62),COMPLEX(2,0)))</f>
        <v>0.500001808790054+0.000950995139455533i</v>
      </c>
      <c r="AD136" s="18">
        <f t="shared" si="129"/>
        <v>0.5000027131777196</v>
      </c>
      <c r="AE136" s="18">
        <f t="shared" si="130"/>
        <v>1.9019811048378585E-3</v>
      </c>
      <c r="AF136" s="66" t="str">
        <f t="shared" si="131"/>
        <v>11.8851788599754-8.98069835816695i</v>
      </c>
      <c r="AG136" s="64">
        <f t="shared" si="132"/>
        <v>23.46177694480216</v>
      </c>
      <c r="AH136" s="61">
        <f t="shared" si="133"/>
        <v>-37.075483658053912</v>
      </c>
      <c r="AI136" s="50" t="str">
        <f t="shared" si="112"/>
        <v>107.538871525172</v>
      </c>
      <c r="AJ136" s="50" t="str">
        <f t="shared" si="113"/>
        <v>1+0.708617448237026i</v>
      </c>
      <c r="AK136" s="50">
        <f t="shared" si="134"/>
        <v>1.2256176760906943</v>
      </c>
      <c r="AL136" s="50">
        <f t="shared" si="135"/>
        <v>0.61648610300845152</v>
      </c>
      <c r="AM136" s="50" t="str">
        <f t="shared" si="114"/>
        <v>1+0.000855898721792171i</v>
      </c>
      <c r="AN136" s="50">
        <f t="shared" si="136"/>
        <v>1.0000003662812438</v>
      </c>
      <c r="AO136" s="50">
        <f t="shared" si="137"/>
        <v>8.558985127924589E-4</v>
      </c>
      <c r="AP136" s="50" t="str">
        <f t="shared" si="115"/>
        <v>1-0.00246085717492772i</v>
      </c>
      <c r="AQ136" s="50">
        <f t="shared" si="138"/>
        <v>1.0000030279044336</v>
      </c>
      <c r="AR136" s="50">
        <f t="shared" si="139"/>
        <v>-2.460852207444682E-3</v>
      </c>
      <c r="AS136" s="59" t="str">
        <f t="shared" si="140"/>
        <v>71.509238636601-50.8452896289358i</v>
      </c>
      <c r="AT136" s="50">
        <f t="shared" si="141"/>
        <v>38.864238661910214</v>
      </c>
      <c r="AU136" s="61">
        <f t="shared" si="142"/>
        <v>-35.414008903869131</v>
      </c>
      <c r="AV136" s="32" t="str">
        <f t="shared" si="116"/>
        <v>-0.0000333333333333333</v>
      </c>
      <c r="AW136" s="32" t="str">
        <f t="shared" si="117"/>
        <v>0.0000456479318289158i</v>
      </c>
      <c r="AX136" s="32">
        <f t="shared" si="143"/>
        <v>4.5647931828915799E-5</v>
      </c>
      <c r="AY136" s="32">
        <f t="shared" si="144"/>
        <v>1.5707963267948966</v>
      </c>
      <c r="AZ136" s="32" t="str">
        <f t="shared" si="118"/>
        <v>1+0.0186237221871445i</v>
      </c>
      <c r="BA136" s="32">
        <f t="shared" si="145"/>
        <v>1.0001734064791485</v>
      </c>
      <c r="BB136" s="32">
        <f t="shared" si="146"/>
        <v>1.8621569465721279E-2</v>
      </c>
      <c r="BC136" s="32" t="str">
        <f t="shared" si="119"/>
        <v>1+0.893938664982936i</v>
      </c>
      <c r="BD136" s="32">
        <f t="shared" si="147"/>
        <v>1.3413151519130297</v>
      </c>
      <c r="BE136" s="32">
        <f t="shared" si="148"/>
        <v>0.72945618699156622</v>
      </c>
      <c r="BF136" s="59" t="str">
        <f t="shared" si="149"/>
        <v>-0.638956623090763+0.742126334796666i</v>
      </c>
      <c r="BG136" s="50">
        <f t="shared" si="150"/>
        <v>-0.18173665721305338</v>
      </c>
      <c r="BH136" s="61">
        <f t="shared" si="151"/>
        <v>130.72782351602712</v>
      </c>
      <c r="BI136" s="59" t="str">
        <f t="shared" si="152"/>
        <v>-0.92930099273873+14.5585809216875i</v>
      </c>
      <c r="BJ136" s="64">
        <f t="shared" si="153"/>
        <v>23.28004028758912</v>
      </c>
      <c r="BK136" s="61">
        <f t="shared" si="154"/>
        <v>93.652339857973203</v>
      </c>
      <c r="BL136" s="59" t="str">
        <f t="shared" si="158"/>
        <v>-7.95767320503703+85.5568237348574i</v>
      </c>
      <c r="BM136" s="64">
        <f t="shared" si="155"/>
        <v>38.682502004697156</v>
      </c>
      <c r="BN136" s="61">
        <f t="shared" si="159"/>
        <v>95.313814612157998</v>
      </c>
      <c r="BO136" s="50">
        <f t="shared" si="156"/>
        <v>23.28004028758912</v>
      </c>
      <c r="BP136" s="61">
        <f t="shared" si="157"/>
        <v>93.652339857973203</v>
      </c>
    </row>
    <row r="137" spans="14:68" x14ac:dyDescent="0.25">
      <c r="N137" s="11">
        <v>19</v>
      </c>
      <c r="O137" s="51">
        <f t="shared" si="160"/>
        <v>154.8816618912482</v>
      </c>
      <c r="P137" s="49" t="str">
        <f t="shared" si="107"/>
        <v>37.1583961085025</v>
      </c>
      <c r="Q137" s="18" t="str">
        <f t="shared" si="108"/>
        <v>1+0.762764764542851i</v>
      </c>
      <c r="R137" s="18">
        <f t="shared" si="121"/>
        <v>1.2577003164617997</v>
      </c>
      <c r="S137" s="18">
        <f t="shared" si="122"/>
        <v>0.65162062956187705</v>
      </c>
      <c r="T137" s="18" t="str">
        <f t="shared" si="109"/>
        <v>1+0.000875835164111983i</v>
      </c>
      <c r="U137" s="18">
        <f t="shared" si="123"/>
        <v>1.0000003835435438</v>
      </c>
      <c r="V137" s="18">
        <f t="shared" si="124"/>
        <v>8.7583494016476129E-4</v>
      </c>
      <c r="W137" s="32" t="str">
        <f t="shared" si="110"/>
        <v>1-0.00766609193124635i</v>
      </c>
      <c r="X137" s="18">
        <f t="shared" si="125"/>
        <v>1.0000293840510379</v>
      </c>
      <c r="Y137" s="18">
        <f t="shared" si="126"/>
        <v>-7.665941760444139E-3</v>
      </c>
      <c r="Z137" s="32" t="str">
        <f t="shared" si="111"/>
        <v>0.99999940029177+0.00184574151251747i</v>
      </c>
      <c r="AA137" s="18">
        <f t="shared" si="127"/>
        <v>1.0000011036722063</v>
      </c>
      <c r="AB137" s="18">
        <f t="shared" si="128"/>
        <v>1.845740523424506E-3</v>
      </c>
      <c r="AC137" s="32" t="str">
        <f>IMDIV(IMSUM(COMPLEX(0,2*PI()*O137*Constants!$B$61*Constants!$B$62),COMPLEX(1,0)),IMSUM(COMPLEX(0,2*PI()*O137*Constants!$B$61*Constants!$B$62),COMPLEX(2,0)))</f>
        <v>0.50000189403538+0.000973146495984897i</v>
      </c>
      <c r="AD137" s="18">
        <f t="shared" si="129"/>
        <v>0.50000284104499848</v>
      </c>
      <c r="AE137" s="18">
        <f t="shared" si="130"/>
        <v>1.9462831617797806E-3</v>
      </c>
      <c r="AF137" s="66" t="str">
        <f t="shared" si="131"/>
        <v>11.6857368172422-9.03775837151034i</v>
      </c>
      <c r="AG137" s="64">
        <f t="shared" si="132"/>
        <v>23.389294204576618</v>
      </c>
      <c r="AH137" s="61">
        <f t="shared" si="133"/>
        <v>-37.718395711959282</v>
      </c>
      <c r="AI137" s="50" t="str">
        <f t="shared" si="112"/>
        <v>107.538871525172</v>
      </c>
      <c r="AJ137" s="50" t="str">
        <f t="shared" si="113"/>
        <v>1+0.725123268988819i</v>
      </c>
      <c r="AK137" s="50">
        <f t="shared" si="134"/>
        <v>1.2352342916341947</v>
      </c>
      <c r="AL137" s="50">
        <f t="shared" si="135"/>
        <v>0.62738898655218367</v>
      </c>
      <c r="AM137" s="50" t="str">
        <f t="shared" si="114"/>
        <v>1+0.000875835164111983i</v>
      </c>
      <c r="AN137" s="50">
        <f t="shared" si="136"/>
        <v>1.0000003835435438</v>
      </c>
      <c r="AO137" s="50">
        <f t="shared" si="137"/>
        <v>8.7583494016476129E-4</v>
      </c>
      <c r="AP137" s="50" t="str">
        <f t="shared" si="115"/>
        <v>1-0.00251817790210735i</v>
      </c>
      <c r="AQ137" s="50">
        <f t="shared" si="138"/>
        <v>1.000003170604947</v>
      </c>
      <c r="AR137" s="50">
        <f t="shared" si="139"/>
        <v>-2.5181725793542876E-3</v>
      </c>
      <c r="AS137" s="59" t="str">
        <f t="shared" si="140"/>
        <v>70.3963666312556-51.2226591812931i</v>
      </c>
      <c r="AT137" s="50">
        <f t="shared" si="141"/>
        <v>38.796353573311023</v>
      </c>
      <c r="AU137" s="61">
        <f t="shared" si="142"/>
        <v>-36.040840057691142</v>
      </c>
      <c r="AV137" s="32" t="str">
        <f t="shared" si="116"/>
        <v>-0.0000333333333333333</v>
      </c>
      <c r="AW137" s="32" t="str">
        <f t="shared" si="117"/>
        <v>0.0000467112087526391i</v>
      </c>
      <c r="AX137" s="32">
        <f t="shared" si="143"/>
        <v>4.6711208752639097E-5</v>
      </c>
      <c r="AY137" s="32">
        <f t="shared" si="144"/>
        <v>1.5707963267948966</v>
      </c>
      <c r="AZ137" s="32" t="str">
        <f t="shared" si="118"/>
        <v>1+0.0190575244042885i</v>
      </c>
      <c r="BA137" s="32">
        <f t="shared" si="145"/>
        <v>1.0001815781329009</v>
      </c>
      <c r="BB137" s="32">
        <f t="shared" si="146"/>
        <v>1.9055217744341265E-2</v>
      </c>
      <c r="BC137" s="32" t="str">
        <f t="shared" si="119"/>
        <v>1+0.91476117140585i</v>
      </c>
      <c r="BD137" s="32">
        <f t="shared" si="147"/>
        <v>1.3552815208331452</v>
      </c>
      <c r="BE137" s="32">
        <f t="shared" si="148"/>
        <v>0.74091084571982913</v>
      </c>
      <c r="BF137" s="59" t="str">
        <f t="shared" si="149"/>
        <v>-0.638946182364653+0.725781330234636i</v>
      </c>
      <c r="BG137" s="50">
        <f t="shared" si="150"/>
        <v>-0.29183389764635403</v>
      </c>
      <c r="BH137" s="61">
        <f t="shared" si="151"/>
        <v>131.35928090076104</v>
      </c>
      <c r="BI137" s="59" t="str">
        <f t="shared" si="152"/>
        <v>-0.907120634280982+14.2559308206006i</v>
      </c>
      <c r="BJ137" s="64">
        <f t="shared" si="153"/>
        <v>23.097460306930252</v>
      </c>
      <c r="BK137" s="61">
        <f t="shared" si="154"/>
        <v>93.640885188801761</v>
      </c>
      <c r="BL137" s="59" t="str">
        <f t="shared" si="158"/>
        <v>-7.80303999262891+83.8208911517708i</v>
      </c>
      <c r="BM137" s="64">
        <f t="shared" si="155"/>
        <v>38.504519675664667</v>
      </c>
      <c r="BN137" s="61">
        <f t="shared" si="159"/>
        <v>95.318440843069894</v>
      </c>
      <c r="BO137" s="50">
        <f t="shared" si="156"/>
        <v>23.097460306930252</v>
      </c>
      <c r="BP137" s="61">
        <f t="shared" si="157"/>
        <v>93.640885188801761</v>
      </c>
    </row>
    <row r="138" spans="14:68" x14ac:dyDescent="0.25">
      <c r="N138" s="11">
        <v>20</v>
      </c>
      <c r="O138" s="51">
        <f t="shared" si="160"/>
        <v>158.48931924611153</v>
      </c>
      <c r="P138" s="49" t="str">
        <f t="shared" si="107"/>
        <v>37.1583961085025</v>
      </c>
      <c r="Q138" s="18" t="str">
        <f t="shared" si="108"/>
        <v>1+0.78053183831538i</v>
      </c>
      <c r="R138" s="18">
        <f t="shared" si="121"/>
        <v>1.2685542757895645</v>
      </c>
      <c r="S138" s="18">
        <f t="shared" si="122"/>
        <v>0.66275687152599971</v>
      </c>
      <c r="T138" s="18" t="str">
        <f t="shared" si="109"/>
        <v>1+0.000896235985828858i</v>
      </c>
      <c r="U138" s="18">
        <f t="shared" si="123"/>
        <v>1.0000004016193904</v>
      </c>
      <c r="V138" s="18">
        <f t="shared" si="124"/>
        <v>8.9623574586509191E-4</v>
      </c>
      <c r="W138" s="32" t="str">
        <f t="shared" si="110"/>
        <v>1-0.00784465815142443i</v>
      </c>
      <c r="X138" s="18">
        <f t="shared" si="125"/>
        <v>1.0000307688573951</v>
      </c>
      <c r="Y138" s="18">
        <f t="shared" si="126"/>
        <v>-7.8444972407781689E-3</v>
      </c>
      <c r="Z138" s="32" t="str">
        <f t="shared" si="111"/>
        <v>0.999999372028392+0.00188873435532081i</v>
      </c>
      <c r="AA138" s="18">
        <f t="shared" si="127"/>
        <v>1.0000011556866539</v>
      </c>
      <c r="AB138" s="18">
        <f t="shared" si="128"/>
        <v>1.8887332954886638E-3</v>
      </c>
      <c r="AC138" s="32" t="str">
        <f>IMDIV(IMSUM(COMPLEX(0,2*PI()*O138*Constants!$B$61*Constants!$B$62),COMPLEX(1,0)),IMSUM(COMPLEX(0,2*PI()*O138*Constants!$B$61*Constants!$B$62),COMPLEX(2,0)))</f>
        <v>0.500001983298163+0.000995813812024985i</v>
      </c>
      <c r="AD138" s="18">
        <f t="shared" si="129"/>
        <v>0.50000297493839441</v>
      </c>
      <c r="AE138" s="18">
        <f t="shared" si="130"/>
        <v>1.9916170908189311E-3</v>
      </c>
      <c r="AF138" s="66" t="str">
        <f t="shared" si="131"/>
        <v>11.483852150983-9.0906974391454i</v>
      </c>
      <c r="AG138" s="64">
        <f t="shared" si="132"/>
        <v>23.314670597877885</v>
      </c>
      <c r="AH138" s="61">
        <f t="shared" si="133"/>
        <v>-38.365382833092994</v>
      </c>
      <c r="AI138" s="50" t="str">
        <f t="shared" si="112"/>
        <v>107.538871525172</v>
      </c>
      <c r="AJ138" s="50" t="str">
        <f t="shared" si="113"/>
        <v>1+0.742013559695971i</v>
      </c>
      <c r="AK138" s="50">
        <f t="shared" si="134"/>
        <v>1.245224527052325</v>
      </c>
      <c r="AL138" s="50">
        <f t="shared" si="135"/>
        <v>0.63837016241483946</v>
      </c>
      <c r="AM138" s="50" t="str">
        <f t="shared" si="114"/>
        <v>1+0.000896235985828858i</v>
      </c>
      <c r="AN138" s="50">
        <f t="shared" si="136"/>
        <v>1.0000004016193904</v>
      </c>
      <c r="AO138" s="50">
        <f t="shared" si="137"/>
        <v>8.9623574586509191E-4</v>
      </c>
      <c r="AP138" s="50" t="str">
        <f t="shared" si="115"/>
        <v>1-0.0025768338005427i</v>
      </c>
      <c r="AQ138" s="50">
        <f t="shared" si="138"/>
        <v>1.0000033200307066</v>
      </c>
      <c r="AR138" s="50">
        <f t="shared" si="139"/>
        <v>-2.5768280971110594E-3</v>
      </c>
      <c r="AS138" s="59" t="str">
        <f t="shared" si="140"/>
        <v>69.2674550804952-51.578120507841i</v>
      </c>
      <c r="AT138" s="50">
        <f t="shared" si="141"/>
        <v>38.726388495524596</v>
      </c>
      <c r="AU138" s="61">
        <f t="shared" si="142"/>
        <v>-36.672206922259548</v>
      </c>
      <c r="AV138" s="32" t="str">
        <f t="shared" si="116"/>
        <v>-0.0000333333333333333</v>
      </c>
      <c r="AW138" s="32" t="str">
        <f t="shared" si="117"/>
        <v>0.000047799252577539i</v>
      </c>
      <c r="AX138" s="32">
        <f t="shared" si="143"/>
        <v>4.7799252577538997E-5</v>
      </c>
      <c r="AY138" s="32">
        <f t="shared" si="144"/>
        <v>1.5707963267948966</v>
      </c>
      <c r="AZ138" s="32" t="str">
        <f t="shared" si="118"/>
        <v>1+0.0195014311731279i</v>
      </c>
      <c r="BA138" s="32">
        <f t="shared" si="145"/>
        <v>1.0001901348332727</v>
      </c>
      <c r="BB138" s="32">
        <f t="shared" si="146"/>
        <v>1.949895956783939E-2</v>
      </c>
      <c r="BC138" s="32" t="str">
        <f t="shared" si="119"/>
        <v>1+0.936068696310142i</v>
      </c>
      <c r="BD138" s="32">
        <f t="shared" si="147"/>
        <v>1.3697534830077158</v>
      </c>
      <c r="BE138" s="32">
        <f t="shared" si="148"/>
        <v>0.7523889617520132</v>
      </c>
      <c r="BF138" s="59" t="str">
        <f t="shared" si="149"/>
        <v>-0.638935249947989+0.709821125788156i</v>
      </c>
      <c r="BG138" s="50">
        <f t="shared" si="150"/>
        <v>-0.39965027362840772</v>
      </c>
      <c r="BH138" s="61">
        <f t="shared" si="151"/>
        <v>131.99150397248687</v>
      </c>
      <c r="BI138" s="59" t="str">
        <f t="shared" si="152"/>
        <v>-0.884668854000379+13.9598479026774i</v>
      </c>
      <c r="BJ138" s="64">
        <f t="shared" si="153"/>
        <v>22.915020324249475</v>
      </c>
      <c r="BK138" s="61">
        <f t="shared" si="154"/>
        <v>93.626121139393859</v>
      </c>
      <c r="BL138" s="59" t="str">
        <f t="shared" si="158"/>
        <v>-7.64617916020442+82.1225822642425i</v>
      </c>
      <c r="BM138" s="64">
        <f t="shared" si="155"/>
        <v>38.326738221896186</v>
      </c>
      <c r="BN138" s="61">
        <f t="shared" si="159"/>
        <v>95.319297050227306</v>
      </c>
      <c r="BO138" s="50">
        <f t="shared" si="156"/>
        <v>22.915020324249475</v>
      </c>
      <c r="BP138" s="61">
        <f t="shared" si="157"/>
        <v>93.626121139393859</v>
      </c>
    </row>
    <row r="139" spans="14:68" x14ac:dyDescent="0.25">
      <c r="N139" s="11">
        <v>21</v>
      </c>
      <c r="O139" s="51">
        <f t="shared" si="160"/>
        <v>162.18100973589304</v>
      </c>
      <c r="P139" s="49" t="str">
        <f t="shared" si="107"/>
        <v>37.1583961085025</v>
      </c>
      <c r="Q139" s="18" t="str">
        <f t="shared" si="108"/>
        <v>1+0.79871276040014i</v>
      </c>
      <c r="R139" s="18">
        <f t="shared" si="121"/>
        <v>1.2798211100095245</v>
      </c>
      <c r="S139" s="18">
        <f t="shared" si="122"/>
        <v>0.67395554702317051</v>
      </c>
      <c r="T139" s="18" t="str">
        <f t="shared" si="109"/>
        <v>1+0.0009171120037285i</v>
      </c>
      <c r="U139" s="18">
        <f t="shared" si="123"/>
        <v>1.0000004205471253</v>
      </c>
      <c r="V139" s="18">
        <f t="shared" si="124"/>
        <v>9.1711174660269793E-4</v>
      </c>
      <c r="W139" s="32" t="str">
        <f t="shared" si="110"/>
        <v>1-0.00802738371319068i</v>
      </c>
      <c r="X139" s="18">
        <f t="shared" si="125"/>
        <v>1.0000322189256099</v>
      </c>
      <c r="Y139" s="18">
        <f t="shared" si="126"/>
        <v>-8.0272112946268084E-3</v>
      </c>
      <c r="Z139" s="32" t="str">
        <f t="shared" si="111"/>
        <v>0.999999342433002+0.00193272863007969i</v>
      </c>
      <c r="AA139" s="18">
        <f t="shared" si="127"/>
        <v>1.0000012101524647</v>
      </c>
      <c r="AB139" s="18">
        <f t="shared" si="128"/>
        <v>1.9327274944491513E-3</v>
      </c>
      <c r="AC139" s="32" t="str">
        <f>IMDIV(IMSUM(COMPLEX(0,2*PI()*O139*Constants!$B$61*Constants!$B$62),COMPLEX(1,0)),IMSUM(COMPLEX(0,2*PI()*O139*Constants!$B$61*Constants!$B$62),COMPLEX(2,0)))</f>
        <v>0.500002076767738+0.00101900910496806i</v>
      </c>
      <c r="AD139" s="18">
        <f t="shared" si="129"/>
        <v>0.50000311514190288</v>
      </c>
      <c r="AE139" s="18">
        <f t="shared" si="130"/>
        <v>2.0380069233839424E-3</v>
      </c>
      <c r="AF139" s="66" t="str">
        <f t="shared" si="131"/>
        <v>11.2796975650438-9.13938615582954i</v>
      </c>
      <c r="AG139" s="64">
        <f t="shared" si="132"/>
        <v>23.237881001904196</v>
      </c>
      <c r="AH139" s="61">
        <f t="shared" si="133"/>
        <v>-39.016155052930557</v>
      </c>
      <c r="AI139" s="50" t="str">
        <f t="shared" si="112"/>
        <v>107.538871525172</v>
      </c>
      <c r="AJ139" s="50" t="str">
        <f t="shared" si="113"/>
        <v>1+0.759297275814182i</v>
      </c>
      <c r="AK139" s="50">
        <f t="shared" si="134"/>
        <v>1.2556003954518484</v>
      </c>
      <c r="AL139" s="50">
        <f t="shared" si="135"/>
        <v>0.64942485983568987</v>
      </c>
      <c r="AM139" s="50" t="str">
        <f t="shared" si="114"/>
        <v>1+0.0009171120037285i</v>
      </c>
      <c r="AN139" s="50">
        <f t="shared" si="136"/>
        <v>1.0000004205471253</v>
      </c>
      <c r="AO139" s="50">
        <f t="shared" si="137"/>
        <v>9.1711174660269793E-4</v>
      </c>
      <c r="AP139" s="50" t="str">
        <f t="shared" si="115"/>
        <v>1-0.00263685597036752i</v>
      </c>
      <c r="AQ139" s="50">
        <f t="shared" si="138"/>
        <v>1.0000034764986612</v>
      </c>
      <c r="AR139" s="50">
        <f t="shared" si="139"/>
        <v>-2.6368498590315583E-3</v>
      </c>
      <c r="AS139" s="59" t="str">
        <f t="shared" si="140"/>
        <v>68.1233768854685-51.9108338138836i</v>
      </c>
      <c r="AT139" s="50">
        <f t="shared" si="141"/>
        <v>38.654314469722294</v>
      </c>
      <c r="AU139" s="61">
        <f t="shared" si="142"/>
        <v>-37.307837315170026</v>
      </c>
      <c r="AV139" s="32" t="str">
        <f t="shared" si="116"/>
        <v>-0.0000333333333333333</v>
      </c>
      <c r="AW139" s="32" t="str">
        <f t="shared" si="117"/>
        <v>0.0000489126401988534i</v>
      </c>
      <c r="AX139" s="32">
        <f t="shared" si="143"/>
        <v>4.8912640198853398E-5</v>
      </c>
      <c r="AY139" s="32">
        <f t="shared" si="144"/>
        <v>1.5707963267948966</v>
      </c>
      <c r="AZ139" s="32" t="str">
        <f t="shared" si="118"/>
        <v>1+0.0199556778589072i</v>
      </c>
      <c r="BA139" s="32">
        <f t="shared" si="145"/>
        <v>1.0001990947200505</v>
      </c>
      <c r="BB139" s="32">
        <f t="shared" si="146"/>
        <v>1.9953029514596786E-2</v>
      </c>
      <c r="BC139" s="32" t="str">
        <f t="shared" si="119"/>
        <v>1+0.957872537227546i</v>
      </c>
      <c r="BD139" s="32">
        <f t="shared" si="147"/>
        <v>1.3847453908840919</v>
      </c>
      <c r="BE139" s="32">
        <f t="shared" si="148"/>
        <v>0.76388452428517872</v>
      </c>
      <c r="BF139" s="59" t="str">
        <f t="shared" si="149"/>
        <v>-0.638923802703359+0.694237257805436i</v>
      </c>
      <c r="BG139" s="50">
        <f t="shared" si="150"/>
        <v>-0.50517778621120335</v>
      </c>
      <c r="BH139" s="61">
        <f t="shared" si="151"/>
        <v>132.62413489721297</v>
      </c>
      <c r="BI139" s="59" t="str">
        <f t="shared" si="152"/>
        <v>-0.86196487875354+13.6701576634877i</v>
      </c>
      <c r="BJ139" s="64">
        <f t="shared" si="153"/>
        <v>22.73270321569299</v>
      </c>
      <c r="BK139" s="61">
        <f t="shared" si="154"/>
        <v>93.607979844282383</v>
      </c>
      <c r="BL139" s="59" t="str">
        <f t="shared" si="158"/>
        <v>-7.48721209531339+80.4608537032825i</v>
      </c>
      <c r="BM139" s="64">
        <f t="shared" si="155"/>
        <v>38.149136683511088</v>
      </c>
      <c r="BN139" s="61">
        <f t="shared" si="159"/>
        <v>95.316297582042907</v>
      </c>
      <c r="BO139" s="50">
        <f t="shared" si="156"/>
        <v>22.73270321569299</v>
      </c>
      <c r="BP139" s="61">
        <f t="shared" si="157"/>
        <v>93.607979844282383</v>
      </c>
    </row>
    <row r="140" spans="14:68" x14ac:dyDescent="0.25">
      <c r="N140" s="11">
        <v>22</v>
      </c>
      <c r="O140" s="51">
        <f t="shared" si="160"/>
        <v>165.95869074375622</v>
      </c>
      <c r="P140" s="49" t="str">
        <f t="shared" si="107"/>
        <v>37.1583961085025</v>
      </c>
      <c r="Q140" s="18" t="str">
        <f t="shared" si="108"/>
        <v>1+0.817317170562683i</v>
      </c>
      <c r="R140" s="18">
        <f t="shared" si="121"/>
        <v>1.2915135916035068</v>
      </c>
      <c r="S140" s="18">
        <f t="shared" si="122"/>
        <v>0.68521135889428753</v>
      </c>
      <c r="T140" s="18" t="str">
        <f t="shared" si="109"/>
        <v>1+0.000938474286551938i</v>
      </c>
      <c r="U140" s="18">
        <f t="shared" si="123"/>
        <v>1.0000004403668963</v>
      </c>
      <c r="V140" s="18">
        <f t="shared" si="124"/>
        <v>9.3847401103668373E-4</v>
      </c>
      <c r="W140" s="32" t="str">
        <f t="shared" si="110"/>
        <v>1-0.00821436550005671i</v>
      </c>
      <c r="X140" s="18">
        <f t="shared" si="125"/>
        <v>1.0000337373311805</v>
      </c>
      <c r="Y140" s="18">
        <f t="shared" si="126"/>
        <v>-8.2141807505735649E-3</v>
      </c>
      <c r="Z140" s="32" t="str">
        <f t="shared" si="111"/>
        <v>0.999999311442824+0.00197774766314093i</v>
      </c>
      <c r="AA140" s="18">
        <f t="shared" si="127"/>
        <v>1.0000012671851677</v>
      </c>
      <c r="AB140" s="18">
        <f t="shared" si="128"/>
        <v>1.9777464462909593E-3</v>
      </c>
      <c r="AC140" s="32" t="str">
        <f>IMDIV(IMSUM(COMPLEX(0,2*PI()*O140*Constants!$B$61*Constants!$B$62),COMPLEX(1,0)),IMSUM(COMPLEX(0,2*PI()*O140*Constants!$B$61*Constants!$B$62),COMPLEX(2,0)))</f>
        <v>0.50000217464236+0.00104274467206673i</v>
      </c>
      <c r="AD140" s="18">
        <f t="shared" si="129"/>
        <v>0.50000326195289979</v>
      </c>
      <c r="AE140" s="18">
        <f t="shared" si="130"/>
        <v>2.0854772503841471E-3</v>
      </c>
      <c r="AF140" s="66" t="str">
        <f t="shared" si="131"/>
        <v>11.0734545308232-9.18370388128963i</v>
      </c>
      <c r="AG140" s="64">
        <f t="shared" si="132"/>
        <v>23.158902185498835</v>
      </c>
      <c r="AH140" s="61">
        <f t="shared" si="133"/>
        <v>-39.670413707818781</v>
      </c>
      <c r="AI140" s="50" t="str">
        <f t="shared" si="112"/>
        <v>107.538871525172</v>
      </c>
      <c r="AJ140" s="50" t="str">
        <f t="shared" si="113"/>
        <v>1+0.776983581398522i</v>
      </c>
      <c r="AK140" s="50">
        <f t="shared" si="134"/>
        <v>1.2663741492003355</v>
      </c>
      <c r="AL140" s="50">
        <f t="shared" si="135"/>
        <v>0.66054813292548387</v>
      </c>
      <c r="AM140" s="50" t="str">
        <f t="shared" si="114"/>
        <v>1+0.000938474286551938i</v>
      </c>
      <c r="AN140" s="50">
        <f t="shared" si="136"/>
        <v>1.0000004403668963</v>
      </c>
      <c r="AO140" s="50">
        <f t="shared" si="137"/>
        <v>9.3847401103668373E-4</v>
      </c>
      <c r="AP140" s="50" t="str">
        <f t="shared" si="115"/>
        <v>1-0.00269827623613076i</v>
      </c>
      <c r="AQ140" s="50">
        <f t="shared" si="138"/>
        <v>1.0000036403406971</v>
      </c>
      <c r="AR140" s="50">
        <f t="shared" si="139"/>
        <v>-2.6982696877175835E-3</v>
      </c>
      <c r="AS140" s="59" t="str">
        <f t="shared" si="140"/>
        <v>66.9650611185149-52.2200001322001i</v>
      </c>
      <c r="AT140" s="50">
        <f t="shared" si="141"/>
        <v>38.580104209423965</v>
      </c>
      <c r="AU140" s="61">
        <f t="shared" si="142"/>
        <v>-37.947449046955882</v>
      </c>
      <c r="AV140" s="32" t="str">
        <f t="shared" si="116"/>
        <v>-0.0000333333333333333</v>
      </c>
      <c r="AW140" s="32" t="str">
        <f t="shared" si="117"/>
        <v>0.0000500519619494366i</v>
      </c>
      <c r="AX140" s="32">
        <f t="shared" si="143"/>
        <v>5.0051961949436603E-5</v>
      </c>
      <c r="AY140" s="32">
        <f t="shared" si="144"/>
        <v>1.5707963267948966</v>
      </c>
      <c r="AZ140" s="32" t="str">
        <f t="shared" si="118"/>
        <v>1+0.020420505309232i</v>
      </c>
      <c r="BA140" s="32">
        <f t="shared" si="145"/>
        <v>1.0002084767872568</v>
      </c>
      <c r="BB140" s="32">
        <f t="shared" si="146"/>
        <v>2.0417667589120794E-2</v>
      </c>
      <c r="BC140" s="32" t="str">
        <f t="shared" si="119"/>
        <v>1+0.980184254843137i</v>
      </c>
      <c r="BD140" s="32">
        <f t="shared" si="147"/>
        <v>1.4002718212698546</v>
      </c>
      <c r="BE140" s="32">
        <f t="shared" si="148"/>
        <v>0.77539147654723029</v>
      </c>
      <c r="BF140" s="59" t="str">
        <f t="shared" si="149"/>
        <v>-0.638911816406343+0.679021462077533i</v>
      </c>
      <c r="BG140" s="50">
        <f t="shared" si="150"/>
        <v>-0.60841084144200008</v>
      </c>
      <c r="BH140" s="61">
        <f t="shared" si="151"/>
        <v>133.25681289621571</v>
      </c>
      <c r="BI140" s="59" t="str">
        <f t="shared" si="152"/>
        <v>-0.839028911420901+13.3866902139014i</v>
      </c>
      <c r="BJ140" s="64">
        <f t="shared" si="153"/>
        <v>22.550491344056841</v>
      </c>
      <c r="BK140" s="61">
        <f t="shared" si="154"/>
        <v>93.586399188396911</v>
      </c>
      <c r="BL140" s="59" t="str">
        <f t="shared" si="158"/>
        <v>-7.32626799553665+78.8346888460088i</v>
      </c>
      <c r="BM140" s="64">
        <f t="shared" si="155"/>
        <v>37.97169336798197</v>
      </c>
      <c r="BN140" s="61">
        <f t="shared" si="159"/>
        <v>95.30936384925981</v>
      </c>
      <c r="BO140" s="50">
        <f t="shared" si="156"/>
        <v>22.550491344056841</v>
      </c>
      <c r="BP140" s="61">
        <f t="shared" si="157"/>
        <v>93.586399188396911</v>
      </c>
    </row>
    <row r="141" spans="14:68" x14ac:dyDescent="0.25">
      <c r="N141" s="11">
        <v>23</v>
      </c>
      <c r="O141" s="51">
        <f t="shared" si="160"/>
        <v>169.82436524617444</v>
      </c>
      <c r="P141" s="49" t="str">
        <f t="shared" si="107"/>
        <v>37.1583961085025</v>
      </c>
      <c r="Q141" s="18" t="str">
        <f t="shared" si="108"/>
        <v>1+0.836354933107524i</v>
      </c>
      <c r="R141" s="18">
        <f t="shared" si="121"/>
        <v>1.3036447269610272</v>
      </c>
      <c r="S141" s="18">
        <f t="shared" si="122"/>
        <v>0.69651886750624237</v>
      </c>
      <c r="T141" s="18" t="str">
        <f t="shared" si="109"/>
        <v>1+0.000960334160864275i</v>
      </c>
      <c r="U141" s="18">
        <f t="shared" si="123"/>
        <v>1.000000461120744</v>
      </c>
      <c r="V141" s="18">
        <f t="shared" si="124"/>
        <v>9.6033386564436853E-4</v>
      </c>
      <c r="W141" s="32" t="str">
        <f t="shared" si="110"/>
        <v>1-0.0084057026522408i</v>
      </c>
      <c r="X141" s="18">
        <f t="shared" si="125"/>
        <v>1.0000353272945302</v>
      </c>
      <c r="Y141" s="18">
        <f t="shared" si="126"/>
        <v>-8.4055046899806727E-3</v>
      </c>
      <c r="Z141" s="32" t="str">
        <f t="shared" si="111"/>
        <v>0.999999278992124+0.00202381532419175i</v>
      </c>
      <c r="AA141" s="18">
        <f t="shared" si="127"/>
        <v>1.0000013269057371</v>
      </c>
      <c r="AB141" s="18">
        <f t="shared" si="128"/>
        <v>2.0238140203135985E-3</v>
      </c>
      <c r="AC141" s="32" t="str">
        <f>IMDIV(IMSUM(COMPLEX(0,2*PI()*O141*Constants!$B$61*Constants!$B$62),COMPLEX(1,0)),IMSUM(COMPLEX(0,2*PI()*O141*Constants!$B$61*Constants!$B$62),COMPLEX(2,0)))</f>
        <v>0.500002277129631+0.00106703309694837i</v>
      </c>
      <c r="AD141" s="18">
        <f t="shared" si="129"/>
        <v>0.50000341568277951</v>
      </c>
      <c r="AE141" s="18">
        <f t="shared" si="130"/>
        <v>2.1340532352212339E-3</v>
      </c>
      <c r="AF141" s="66" t="str">
        <f t="shared" si="131"/>
        <v>10.8653127202713-9.22353944571742i</v>
      </c>
      <c r="AG141" s="64">
        <f t="shared" si="132"/>
        <v>23.077712899813321</v>
      </c>
      <c r="AH141" s="61">
        <f t="shared" si="133"/>
        <v>-40.327852083576872</v>
      </c>
      <c r="AI141" s="50" t="str">
        <f t="shared" si="112"/>
        <v>107.538871525172</v>
      </c>
      <c r="AJ141" s="50" t="str">
        <f t="shared" si="113"/>
        <v>1+0.795081853962307i</v>
      </c>
      <c r="AK141" s="50">
        <f t="shared" si="134"/>
        <v>1.2775582783185038</v>
      </c>
      <c r="AL141" s="50">
        <f t="shared" si="135"/>
        <v>0.67173486986639541</v>
      </c>
      <c r="AM141" s="50" t="str">
        <f t="shared" si="114"/>
        <v>1+0.000960334160864275i</v>
      </c>
      <c r="AN141" s="50">
        <f t="shared" si="136"/>
        <v>1.000000461120744</v>
      </c>
      <c r="AO141" s="50">
        <f t="shared" si="137"/>
        <v>9.6033386564436853E-4</v>
      </c>
      <c r="AP141" s="50" t="str">
        <f t="shared" si="115"/>
        <v>1-0.00276112716367029i</v>
      </c>
      <c r="AQ141" s="50">
        <f t="shared" si="138"/>
        <v>1.0000038119043417</v>
      </c>
      <c r="AR141" s="50">
        <f t="shared" si="139"/>
        <v>-2.7611201469205974E-3</v>
      </c>
      <c r="AS141" s="59" t="str">
        <f t="shared" si="140"/>
        <v>65.7934906534853-52.504865774797i</v>
      </c>
      <c r="AT141" s="50">
        <f t="shared" si="141"/>
        <v>38.503732202601761</v>
      </c>
      <c r="AU141" s="61">
        <f t="shared" si="142"/>
        <v>-38.590750448836218</v>
      </c>
      <c r="AV141" s="32" t="str">
        <f t="shared" si="116"/>
        <v>-0.0000333333333333333</v>
      </c>
      <c r="AW141" s="32" t="str">
        <f t="shared" si="117"/>
        <v>0.0000512178219127614i</v>
      </c>
      <c r="AX141" s="32">
        <f t="shared" si="143"/>
        <v>5.1217821912761403E-5</v>
      </c>
      <c r="AY141" s="32">
        <f t="shared" si="144"/>
        <v>1.5707963267948966</v>
      </c>
      <c r="AZ141" s="32" t="str">
        <f t="shared" si="118"/>
        <v>1+0.0208961599817689i</v>
      </c>
      <c r="BA141" s="32">
        <f t="shared" si="145"/>
        <v>1.0002183009233452</v>
      </c>
      <c r="BB141" s="32">
        <f t="shared" si="146"/>
        <v>2.0893119345728014E-2</v>
      </c>
      <c r="BC141" s="32" t="str">
        <f t="shared" si="119"/>
        <v>1+1.00301567912491i</v>
      </c>
      <c r="BD141" s="32">
        <f t="shared" si="147"/>
        <v>1.4163475747747811</v>
      </c>
      <c r="BE141" s="32">
        <f t="shared" si="148"/>
        <v>0.78690373166521377</v>
      </c>
      <c r="BF141" s="59" t="str">
        <f t="shared" si="149"/>
        <v>-0.638899265694556+0.664165669449733i</v>
      </c>
      <c r="BG141" s="50">
        <f t="shared" si="150"/>
        <v>-0.70934627499639691</v>
      </c>
      <c r="BH141" s="61">
        <f t="shared" si="151"/>
        <v>133.88917514813838</v>
      </c>
      <c r="BI141" s="59" t="str">
        <f t="shared" si="152"/>
        <v>-0.815882067862123+13.1092802756133i</v>
      </c>
      <c r="BJ141" s="64">
        <f t="shared" si="153"/>
        <v>22.368366624816915</v>
      </c>
      <c r="BK141" s="61">
        <f t="shared" si="154"/>
        <v>93.561323064561506</v>
      </c>
      <c r="BL141" s="59" t="str">
        <f t="shared" si="158"/>
        <v>-7.16348353930698+77.2430979542158i</v>
      </c>
      <c r="BM141" s="64">
        <f t="shared" si="155"/>
        <v>37.794385927605362</v>
      </c>
      <c r="BN141" s="61">
        <f t="shared" si="159"/>
        <v>95.29842469930216</v>
      </c>
      <c r="BO141" s="50">
        <f t="shared" si="156"/>
        <v>22.368366624816915</v>
      </c>
      <c r="BP141" s="61">
        <f t="shared" si="157"/>
        <v>93.561323064561506</v>
      </c>
    </row>
    <row r="142" spans="14:68" x14ac:dyDescent="0.25">
      <c r="N142" s="11">
        <v>24</v>
      </c>
      <c r="O142" s="51">
        <f t="shared" si="160"/>
        <v>173.78008287493768</v>
      </c>
      <c r="P142" s="49" t="str">
        <f t="shared" si="107"/>
        <v>37.1583961085025</v>
      </c>
      <c r="Q142" s="18" t="str">
        <f t="shared" si="108"/>
        <v>1+0.855836142108372i</v>
      </c>
      <c r="R142" s="18">
        <f t="shared" si="121"/>
        <v>1.3162277546606216</v>
      </c>
      <c r="S142" s="18">
        <f t="shared" si="122"/>
        <v>0.70787250279878366</v>
      </c>
      <c r="T142" s="18" t="str">
        <f t="shared" si="109"/>
        <v>1+0.000982703217060235i</v>
      </c>
      <c r="U142" s="18">
        <f t="shared" si="123"/>
        <v>1.0000004828526898</v>
      </c>
      <c r="V142" s="18">
        <f t="shared" si="124"/>
        <v>9.8270290072641404E-4</v>
      </c>
      <c r="W142" s="32" t="str">
        <f t="shared" si="110"/>
        <v>1-0.00860149661923379i</v>
      </c>
      <c r="X142" s="18">
        <f t="shared" si="125"/>
        <v>1.0000369921878345</v>
      </c>
      <c r="Y142" s="18">
        <f t="shared" si="126"/>
        <v>-8.6012844992741332E-3</v>
      </c>
      <c r="Z142" s="32" t="str">
        <f t="shared" si="111"/>
        <v>0.99999924501207+0.00207095603891582i</v>
      </c>
      <c r="AA142" s="18">
        <f t="shared" si="127"/>
        <v>1.0000013894408475</v>
      </c>
      <c r="AB142" s="18">
        <f t="shared" si="128"/>
        <v>2.0709546417853027E-3</v>
      </c>
      <c r="AC142" s="32" t="str">
        <f>IMDIV(IMSUM(COMPLEX(0,2*PI()*O142*Constants!$B$61*Constants!$B$62),COMPLEX(1,0)),IMSUM(COMPLEX(0,2*PI()*O142*Constants!$B$61*Constants!$B$62),COMPLEX(2,0)))</f>
        <v>0.500002384446932+0.00109188725628099i</v>
      </c>
      <c r="AD142" s="18">
        <f t="shared" si="129"/>
        <v>0.50000357665760553</v>
      </c>
      <c r="AE142" s="18">
        <f t="shared" si="130"/>
        <v>2.1837606271026301E-3</v>
      </c>
      <c r="AF142" s="66" t="str">
        <f t="shared" si="131"/>
        <v>10.6554693725129-9.25879181212525i</v>
      </c>
      <c r="AG142" s="64">
        <f t="shared" si="132"/>
        <v>22.994293962565493</v>
      </c>
      <c r="AH142" s="61">
        <f t="shared" si="133"/>
        <v>-40.988156108343162</v>
      </c>
      <c r="AI142" s="50" t="str">
        <f t="shared" si="112"/>
        <v>107.538871525172</v>
      </c>
      <c r="AJ142" s="50" t="str">
        <f t="shared" si="113"/>
        <v>1+0.813601689449222i</v>
      </c>
      <c r="AK142" s="50">
        <f t="shared" si="134"/>
        <v>1.289165508798086</v>
      </c>
      <c r="AL142" s="50">
        <f t="shared" si="135"/>
        <v>0.68297980304744155</v>
      </c>
      <c r="AM142" s="50" t="str">
        <f t="shared" si="114"/>
        <v>1+0.000982703217060235i</v>
      </c>
      <c r="AN142" s="50">
        <f t="shared" si="136"/>
        <v>1.0000004828526898</v>
      </c>
      <c r="AO142" s="50">
        <f t="shared" si="137"/>
        <v>9.8270290072641404E-4</v>
      </c>
      <c r="AP142" s="50" t="str">
        <f t="shared" si="115"/>
        <v>1-0.00282544207737985i</v>
      </c>
      <c r="AQ142" s="50">
        <f t="shared" si="138"/>
        <v>1.0000039915535002</v>
      </c>
      <c r="AR142" s="50">
        <f t="shared" si="139"/>
        <v>-2.8254345587987156E-3</v>
      </c>
      <c r="AS142" s="59" t="str">
        <f t="shared" si="140"/>
        <v>64.6096993840175-52.7647266311973i</v>
      </c>
      <c r="AT142" s="50">
        <f t="shared" si="141"/>
        <v>38.425174809003295</v>
      </c>
      <c r="AU142" s="61">
        <f t="shared" si="142"/>
        <v>-39.237440954077258</v>
      </c>
      <c r="AV142" s="32" t="str">
        <f t="shared" si="116"/>
        <v>-0.0000333333333333333</v>
      </c>
      <c r="AW142" s="32" t="str">
        <f t="shared" si="117"/>
        <v>0.0000524108382432124i</v>
      </c>
      <c r="AX142" s="32">
        <f t="shared" si="143"/>
        <v>5.2410838243212399E-5</v>
      </c>
      <c r="AY142" s="32">
        <f t="shared" si="144"/>
        <v>1.5707963267948966</v>
      </c>
      <c r="AZ142" s="32" t="str">
        <f t="shared" si="118"/>
        <v>1+0.0213828940749218i</v>
      </c>
      <c r="BA142" s="32">
        <f t="shared" si="145"/>
        <v>1.0002285879532835</v>
      </c>
      <c r="BB142" s="32">
        <f t="shared" si="146"/>
        <v>2.1379636014917047E-2</v>
      </c>
      <c r="BC142" s="32" t="str">
        <f t="shared" si="119"/>
        <v>1+1.02637891559625i</v>
      </c>
      <c r="BD142" s="32">
        <f t="shared" si="147"/>
        <v>1.4329876755857092</v>
      </c>
      <c r="BE142" s="32">
        <f t="shared" si="148"/>
        <v>0.7984151887273726</v>
      </c>
      <c r="BF142" s="59" t="str">
        <f t="shared" si="149"/>
        <v>-0.638886124014439+0.649662001535869i</v>
      </c>
      <c r="BG142" s="50">
        <f t="shared" si="150"/>
        <v>-0.80798336665582993</v>
      </c>
      <c r="BH142" s="61">
        <f t="shared" si="151"/>
        <v>134.52085770203897</v>
      </c>
      <c r="BI142" s="59" t="str">
        <f t="shared" si="152"/>
        <v>-0.792546306490129+12.8377671737562i</v>
      </c>
      <c r="BJ142" s="64">
        <f t="shared" si="153"/>
        <v>22.18631059590966</v>
      </c>
      <c r="BK142" s="61">
        <f t="shared" si="154"/>
        <v>93.532701593695805</v>
      </c>
      <c r="BL142" s="59" t="str">
        <f t="shared" si="158"/>
        <v>-6.99900249947643+75.6851183025387i</v>
      </c>
      <c r="BM142" s="64">
        <f t="shared" si="155"/>
        <v>37.617191442347462</v>
      </c>
      <c r="BN142" s="61">
        <f t="shared" si="159"/>
        <v>95.283416747961709</v>
      </c>
      <c r="BO142" s="50">
        <f t="shared" si="156"/>
        <v>22.18631059590966</v>
      </c>
      <c r="BP142" s="61">
        <f t="shared" si="157"/>
        <v>93.532701593695805</v>
      </c>
    </row>
    <row r="143" spans="14:68" x14ac:dyDescent="0.25">
      <c r="N143" s="11">
        <v>25</v>
      </c>
      <c r="O143" s="51">
        <f t="shared" si="160"/>
        <v>177.82794100389242</v>
      </c>
      <c r="P143" s="49" t="str">
        <f t="shared" si="107"/>
        <v>37.1583961085025</v>
      </c>
      <c r="Q143" s="18" t="str">
        <f t="shared" si="108"/>
        <v>1+0.875771126760096i</v>
      </c>
      <c r="R143" s="18">
        <f t="shared" si="121"/>
        <v>1.3292761437965581</v>
      </c>
      <c r="S143" s="18">
        <f t="shared" si="122"/>
        <v>0.71926657711491404</v>
      </c>
      <c r="T143" s="18" t="str">
        <f t="shared" si="109"/>
        <v>1+0.00100559331550949i</v>
      </c>
      <c r="U143" s="18">
        <f t="shared" si="123"/>
        <v>1.0000005056088304</v>
      </c>
      <c r="V143" s="18">
        <f t="shared" si="124"/>
        <v>1.0055929765517032E-3</v>
      </c>
      <c r="W143" s="32" t="str">
        <f t="shared" si="110"/>
        <v>1-0.00880185121358857i</v>
      </c>
      <c r="X143" s="18">
        <f t="shared" si="125"/>
        <v>1.0000387355421718</v>
      </c>
      <c r="Y143" s="18">
        <f t="shared" si="126"/>
        <v>-8.8016239234322557E-3</v>
      </c>
      <c r="Z143" s="32" t="str">
        <f t="shared" si="111"/>
        <v>0.999999209430585+0.00211919480194408i</v>
      </c>
      <c r="AA143" s="18">
        <f t="shared" si="127"/>
        <v>1.0000014549231433</v>
      </c>
      <c r="AB143" s="18">
        <f t="shared" si="128"/>
        <v>2.1191933048918649E-3</v>
      </c>
      <c r="AC143" s="32" t="str">
        <f>IMDIV(IMSUM(COMPLEX(0,2*PI()*O143*Constants!$B$61*Constants!$B$62),COMPLEX(1,0)),IMSUM(COMPLEX(0,2*PI()*O143*Constants!$B$61*Constants!$B$62),COMPLEX(2,0)))</f>
        <v>0.500002496821893+0.00111732032659409i</v>
      </c>
      <c r="AD143" s="18">
        <f t="shared" si="129"/>
        <v>0.50000374521881263</v>
      </c>
      <c r="AE143" s="18">
        <f t="shared" si="130"/>
        <v>2.2346257746634645E-3</v>
      </c>
      <c r="AF143" s="66" t="str">
        <f t="shared" si="131"/>
        <v>10.4441285979256-9.28937068843078i</v>
      </c>
      <c r="AG143" s="64">
        <f t="shared" si="132"/>
        <v>22.908628335204938</v>
      </c>
      <c r="AH143" s="61">
        <f t="shared" si="133"/>
        <v>-41.651005090378568</v>
      </c>
      <c r="AI143" s="50" t="str">
        <f t="shared" si="112"/>
        <v>107.538871525172</v>
      </c>
      <c r="AJ143" s="50" t="str">
        <f t="shared" si="113"/>
        <v>1+0.832552907321175i</v>
      </c>
      <c r="AK143" s="50">
        <f t="shared" si="134"/>
        <v>1.3012088008805278</v>
      </c>
      <c r="AL143" s="50">
        <f t="shared" si="135"/>
        <v>0.6942775200978365</v>
      </c>
      <c r="AM143" s="50" t="str">
        <f t="shared" si="114"/>
        <v>1+0.00100559331550949i</v>
      </c>
      <c r="AN143" s="50">
        <f t="shared" si="136"/>
        <v>1.0000005056088304</v>
      </c>
      <c r="AO143" s="50">
        <f t="shared" si="137"/>
        <v>1.0055929765517032E-3</v>
      </c>
      <c r="AP143" s="50" t="str">
        <f t="shared" si="115"/>
        <v>1-0.00289125507787799i</v>
      </c>
      <c r="AQ143" s="50">
        <f t="shared" si="138"/>
        <v>1.0000041796692278</v>
      </c>
      <c r="AR143" s="50">
        <f t="shared" si="139"/>
        <v>-2.8912470215749753E-3</v>
      </c>
      <c r="AS143" s="59" t="str">
        <f t="shared" si="140"/>
        <v>63.4147690404704-52.9989322697478i</v>
      </c>
      <c r="AT143" s="50">
        <f t="shared" si="141"/>
        <v>38.344410351939125</v>
      </c>
      <c r="AU143" s="61">
        <f t="shared" si="142"/>
        <v>-39.887211730816858</v>
      </c>
      <c r="AV143" s="32" t="str">
        <f t="shared" si="116"/>
        <v>-0.0000333333333333333</v>
      </c>
      <c r="AW143" s="32" t="str">
        <f t="shared" si="117"/>
        <v>0.0000536316434938395i</v>
      </c>
      <c r="AX143" s="32">
        <f t="shared" si="143"/>
        <v>5.3631643493839501E-5</v>
      </c>
      <c r="AY143" s="32">
        <f t="shared" si="144"/>
        <v>1.5707963267948966</v>
      </c>
      <c r="AZ143" s="32" t="str">
        <f t="shared" si="118"/>
        <v>1+0.0218809656615492i</v>
      </c>
      <c r="BA143" s="32">
        <f t="shared" si="145"/>
        <v>1.000239359682612</v>
      </c>
      <c r="BB143" s="32">
        <f t="shared" si="146"/>
        <v>2.1877474632475139E-2</v>
      </c>
      <c r="BC143" s="32" t="str">
        <f t="shared" si="119"/>
        <v>1+1.05028635175436i</v>
      </c>
      <c r="BD143" s="32">
        <f t="shared" si="147"/>
        <v>1.4502073716132748</v>
      </c>
      <c r="BE143" s="32">
        <f t="shared" si="148"/>
        <v>0.80991974893569918</v>
      </c>
      <c r="BF143" s="59" t="str">
        <f t="shared" si="149"/>
        <v>-0.638872363565446+0.635502766533253i</v>
      </c>
      <c r="BG143" s="50">
        <f t="shared" si="150"/>
        <v>-0.90432384450524872</v>
      </c>
      <c r="BH143" s="61">
        <f t="shared" si="151"/>
        <v>135.15149639546544</v>
      </c>
      <c r="BI143" s="59" t="str">
        <f t="shared" si="152"/>
        <v>-0.769044350887525+12.5719948257641i</v>
      </c>
      <c r="BJ143" s="64">
        <f t="shared" si="153"/>
        <v>22.004304490699667</v>
      </c>
      <c r="BK143" s="61">
        <f t="shared" si="154"/>
        <v>93.500491305086882</v>
      </c>
      <c r="BL143" s="59" t="str">
        <f t="shared" si="158"/>
        <v>-6.83297530110897+74.159814289905i</v>
      </c>
      <c r="BM143" s="64">
        <f t="shared" si="155"/>
        <v>37.440086507433875</v>
      </c>
      <c r="BN143" s="61">
        <f t="shared" si="159"/>
        <v>95.264284664648585</v>
      </c>
      <c r="BO143" s="50">
        <f t="shared" si="156"/>
        <v>22.004304490699667</v>
      </c>
      <c r="BP143" s="61">
        <f t="shared" si="157"/>
        <v>93.500491305086882</v>
      </c>
    </row>
    <row r="144" spans="14:68" x14ac:dyDescent="0.25">
      <c r="N144" s="11">
        <v>26</v>
      </c>
      <c r="O144" s="51">
        <f t="shared" si="160"/>
        <v>181.9700858609983</v>
      </c>
      <c r="P144" s="49" t="str">
        <f t="shared" si="107"/>
        <v>37.1583961085025</v>
      </c>
      <c r="Q144" s="18" t="str">
        <f t="shared" si="108"/>
        <v>1+0.896170456855419i</v>
      </c>
      <c r="R144" s="18">
        <f t="shared" si="121"/>
        <v>1.3428035923918473</v>
      </c>
      <c r="S144" s="18">
        <f t="shared" si="122"/>
        <v>0.73069529874896499</v>
      </c>
      <c r="T144" s="18" t="str">
        <f t="shared" si="109"/>
        <v>1+0.00102901659284523i</v>
      </c>
      <c r="U144" s="18">
        <f t="shared" si="123"/>
        <v>1.0000005294374341</v>
      </c>
      <c r="V144" s="18">
        <f t="shared" si="124"/>
        <v>1.0290162296454283E-3</v>
      </c>
      <c r="W144" s="32" t="str">
        <f t="shared" si="110"/>
        <v>1-0.00900687266596297i</v>
      </c>
      <c r="X144" s="18">
        <f t="shared" si="125"/>
        <v>1.0000405610550109</v>
      </c>
      <c r="Y144" s="18">
        <f t="shared" si="126"/>
        <v>-9.0066291207060896E-3</v>
      </c>
      <c r="Z144" s="32" t="str">
        <f t="shared" si="111"/>
        <v>0.999999172172196+0.00216855719010716i</v>
      </c>
      <c r="AA144" s="18">
        <f t="shared" si="127"/>
        <v>1.0000015234915214</v>
      </c>
      <c r="AB144" s="18">
        <f t="shared" si="128"/>
        <v>2.1685555859869299E-3</v>
      </c>
      <c r="AC144" s="32" t="str">
        <f>IMDIV(IMSUM(COMPLEX(0,2*PI()*O144*Constants!$B$61*Constants!$B$62),COMPLEX(1,0)),IMSUM(COMPLEX(0,2*PI()*O144*Constants!$B$61*Constants!$B$62),COMPLEX(2,0)))</f>
        <v>0.500002614492868+0.00114334579125794i</v>
      </c>
      <c r="AD144" s="18">
        <f t="shared" si="129"/>
        <v>0.50000392172392194</v>
      </c>
      <c r="AE144" s="18">
        <f t="shared" si="130"/>
        <v>2.2866756399040475E-3</v>
      </c>
      <c r="AF144" s="66" t="str">
        <f t="shared" si="131"/>
        <v>10.2315006243643-9.31519708252568i</v>
      </c>
      <c r="AG144" s="64">
        <f t="shared" si="132"/>
        <v>22.820701192341733</v>
      </c>
      <c r="AH144" s="61">
        <f t="shared" si="133"/>
        <v>-42.316072497048239</v>
      </c>
      <c r="AI144" s="50" t="str">
        <f t="shared" si="112"/>
        <v>107.538871525172</v>
      </c>
      <c r="AJ144" s="50" t="str">
        <f t="shared" si="113"/>
        <v>1+0.85194555576472i</v>
      </c>
      <c r="AK144" s="50">
        <f t="shared" si="134"/>
        <v>1.3137013473340344</v>
      </c>
      <c r="AL144" s="50">
        <f t="shared" si="135"/>
        <v>0.70562247577169834</v>
      </c>
      <c r="AM144" s="50" t="str">
        <f t="shared" si="114"/>
        <v>1+0.00102901659284523i</v>
      </c>
      <c r="AN144" s="50">
        <f t="shared" si="136"/>
        <v>1.0000005294374341</v>
      </c>
      <c r="AO144" s="50">
        <f t="shared" si="137"/>
        <v>1.0290162296454283E-3</v>
      </c>
      <c r="AP144" s="50" t="str">
        <f t="shared" si="115"/>
        <v>1-0.00295860106008867i</v>
      </c>
      <c r="AQ144" s="50">
        <f t="shared" si="138"/>
        <v>1.0000043766505389</v>
      </c>
      <c r="AR144" s="50">
        <f t="shared" si="139"/>
        <v>-2.9585924276065013E-3</v>
      </c>
      <c r="AS144" s="59" t="str">
        <f t="shared" si="140"/>
        <v>62.2098256213879-53.2068897991595i</v>
      </c>
      <c r="AT144" s="50">
        <f t="shared" si="141"/>
        <v>38.261419203803683</v>
      </c>
      <c r="AU144" s="61">
        <f t="shared" si="142"/>
        <v>-40.539746363682575</v>
      </c>
      <c r="AV144" s="32" t="str">
        <f t="shared" si="116"/>
        <v>-0.0000333333333333333</v>
      </c>
      <c r="AW144" s="32" t="str">
        <f t="shared" si="117"/>
        <v>0.0000548808849517456i</v>
      </c>
      <c r="AX144" s="32">
        <f t="shared" si="143"/>
        <v>5.4880884951745601E-5</v>
      </c>
      <c r="AY144" s="32">
        <f t="shared" si="144"/>
        <v>1.5707963267948966</v>
      </c>
      <c r="AZ144" s="32" t="str">
        <f t="shared" si="118"/>
        <v>1+0.0223906388257989i</v>
      </c>
      <c r="BA144" s="32">
        <f t="shared" si="145"/>
        <v>1.0002506389435737</v>
      </c>
      <c r="BB144" s="32">
        <f t="shared" si="146"/>
        <v>2.2386898171373272E-2</v>
      </c>
      <c r="BC144" s="32" t="str">
        <f t="shared" si="119"/>
        <v>1+1.07475066363835i</v>
      </c>
      <c r="BD144" s="32">
        <f t="shared" si="147"/>
        <v>1.4680221350480629</v>
      </c>
      <c r="BE144" s="32">
        <f t="shared" si="148"/>
        <v>0.82141133174491643</v>
      </c>
      <c r="BF144" s="59" t="str">
        <f t="shared" si="149"/>
        <v>-0.638857955241769+0.621680455135976i</v>
      </c>
      <c r="BG144" s="50">
        <f t="shared" si="150"/>
        <v>-0.99837187881576817</v>
      </c>
      <c r="BH144" s="61">
        <f t="shared" si="151"/>
        <v>135.78072777159528</v>
      </c>
      <c r="BI144" s="59" t="str">
        <f t="shared" si="152"/>
        <v>-0.745399605990379+12.3118117256953i</v>
      </c>
      <c r="BJ144" s="64">
        <f t="shared" si="153"/>
        <v>21.822329313525984</v>
      </c>
      <c r="BK144" s="61">
        <f t="shared" si="154"/>
        <v>93.464655274547056</v>
      </c>
      <c r="BL144" s="59" t="str">
        <f t="shared" si="158"/>
        <v>-6.66555852571569+72.6662775280993i</v>
      </c>
      <c r="BM144" s="64">
        <f t="shared" si="155"/>
        <v>37.263047324987909</v>
      </c>
      <c r="BN144" s="61">
        <f t="shared" si="159"/>
        <v>95.240981407912727</v>
      </c>
      <c r="BO144" s="50">
        <f t="shared" si="156"/>
        <v>21.822329313525984</v>
      </c>
      <c r="BP144" s="61">
        <f t="shared" si="157"/>
        <v>93.464655274547056</v>
      </c>
    </row>
    <row r="145" spans="14:68" x14ac:dyDescent="0.25">
      <c r="N145" s="11">
        <v>27</v>
      </c>
      <c r="O145" s="51">
        <f t="shared" si="160"/>
        <v>186.20871366628685</v>
      </c>
      <c r="P145" s="49" t="str">
        <f t="shared" si="107"/>
        <v>37.1583961085025</v>
      </c>
      <c r="Q145" s="18" t="str">
        <f t="shared" si="108"/>
        <v>1+0.917044948389192i</v>
      </c>
      <c r="R145" s="18">
        <f t="shared" si="121"/>
        <v>1.3568240259393021</v>
      </c>
      <c r="S145" s="18">
        <f t="shared" si="122"/>
        <v>0.74215278613837521</v>
      </c>
      <c r="T145" s="18" t="str">
        <f t="shared" si="109"/>
        <v>1+0.00105298546839914i</v>
      </c>
      <c r="U145" s="18">
        <f t="shared" si="123"/>
        <v>1.0000005543890447</v>
      </c>
      <c r="V145" s="18">
        <f t="shared" si="124"/>
        <v>1.0529850792235524E-3</v>
      </c>
      <c r="W145" s="32" t="str">
        <f t="shared" si="110"/>
        <v>1-0.00921666968144497i</v>
      </c>
      <c r="X145" s="18">
        <f t="shared" si="125"/>
        <v>1.0000424725980477</v>
      </c>
      <c r="Y145" s="18">
        <f t="shared" si="126"/>
        <v>-9.2164087185991183E-3</v>
      </c>
      <c r="Z145" s="32" t="str">
        <f t="shared" si="111"/>
        <v>0.999999133157874+0.0022190693759967i</v>
      </c>
      <c r="AA145" s="18">
        <f t="shared" si="127"/>
        <v>1.0000015952914252</v>
      </c>
      <c r="AB145" s="18">
        <f t="shared" si="128"/>
        <v>2.2190676571510375E-3</v>
      </c>
      <c r="AC145" s="32" t="str">
        <f>IMDIV(IMSUM(COMPLEX(0,2*PI()*O145*Constants!$B$61*Constants!$B$62),COMPLEX(1,0)),IMSUM(COMPLEX(0,2*PI()*O145*Constants!$B$61*Constants!$B$62),COMPLEX(2,0)))</f>
        <v>0.500002737709446+0.00116997744762513i</v>
      </c>
      <c r="AD145" s="18">
        <f t="shared" si="129"/>
        <v>0.50000410654730532</v>
      </c>
      <c r="AE145" s="18">
        <f t="shared" si="130"/>
        <v>2.3399378124503239E-3</v>
      </c>
      <c r="AF145" s="66" t="str">
        <f t="shared" si="131"/>
        <v>10.0178009910434-9.33620379409046i</v>
      </c>
      <c r="AG145" s="64">
        <f t="shared" si="132"/>
        <v>22.730499982850244</v>
      </c>
      <c r="AH145" s="61">
        <f t="shared" si="133"/>
        <v>-42.983026770749966</v>
      </c>
      <c r="AI145" s="50" t="str">
        <f t="shared" si="112"/>
        <v>107.538871525172</v>
      </c>
      <c r="AJ145" s="50" t="str">
        <f t="shared" si="113"/>
        <v>1+0.87178991701877i</v>
      </c>
      <c r="AK145" s="50">
        <f t="shared" si="134"/>
        <v>1.32665657176814</v>
      </c>
      <c r="AL145" s="50">
        <f t="shared" si="135"/>
        <v>0.71700900462840667</v>
      </c>
      <c r="AM145" s="50" t="str">
        <f t="shared" si="114"/>
        <v>1+0.00105298546839914i</v>
      </c>
      <c r="AN145" s="50">
        <f t="shared" si="136"/>
        <v>1.0000005543890447</v>
      </c>
      <c r="AO145" s="50">
        <f t="shared" si="137"/>
        <v>1.0529850792235524E-3</v>
      </c>
      <c r="AP145" s="50" t="str">
        <f t="shared" si="115"/>
        <v>1-0.00302751573174314i</v>
      </c>
      <c r="AQ145" s="50">
        <f t="shared" si="138"/>
        <v>1.0000045829152515</v>
      </c>
      <c r="AR145" s="50">
        <f t="shared" si="139"/>
        <v>-3.0275064818741336E-3</v>
      </c>
      <c r="AS145" s="59" t="str">
        <f t="shared" si="140"/>
        <v>60.996035460505-53.3880674488999i</v>
      </c>
      <c r="AT145" s="50">
        <f t="shared" si="141"/>
        <v>38.176183864632506</v>
      </c>
      <c r="AU145" s="61">
        <f t="shared" si="142"/>
        <v>-41.194721581013937</v>
      </c>
      <c r="AV145" s="32" t="str">
        <f t="shared" si="116"/>
        <v>-0.0000333333333333333</v>
      </c>
      <c r="AW145" s="32" t="str">
        <f t="shared" si="117"/>
        <v>0.0000561592249812876i</v>
      </c>
      <c r="AX145" s="32">
        <f t="shared" si="143"/>
        <v>5.6159224981287603E-5</v>
      </c>
      <c r="AY145" s="32">
        <f t="shared" si="144"/>
        <v>1.5707963267948966</v>
      </c>
      <c r="AZ145" s="32" t="str">
        <f t="shared" si="118"/>
        <v>1+0.0229121838031294i</v>
      </c>
      <c r="BA145" s="32">
        <f t="shared" si="145"/>
        <v>1.0002624496434065</v>
      </c>
      <c r="BB145" s="32">
        <f t="shared" si="146"/>
        <v>2.2908175676495481E-2</v>
      </c>
      <c r="BC145" s="32" t="str">
        <f t="shared" si="119"/>
        <v>1+1.09978482255021i</v>
      </c>
      <c r="BD145" s="32">
        <f t="shared" si="147"/>
        <v>1.4864476633611414</v>
      </c>
      <c r="BE145" s="32">
        <f t="shared" si="148"/>
        <v>0.83288389088371151</v>
      </c>
      <c r="BF145" s="59" t="str">
        <f t="shared" si="149"/>
        <v>-0.638842868571259+0.608187736544396i</v>
      </c>
      <c r="BG145" s="50">
        <f t="shared" si="150"/>
        <v>-1.0901340656729634</v>
      </c>
      <c r="BH145" s="61">
        <f t="shared" si="151"/>
        <v>136.40818998946381</v>
      </c>
      <c r="BI145" s="59" t="str">
        <f t="shared" si="152"/>
        <v>-0.721636068449088+12.0570709232775i</v>
      </c>
      <c r="BJ145" s="64">
        <f t="shared" si="153"/>
        <v>21.640365917177267</v>
      </c>
      <c r="BK145" s="61">
        <f t="shared" si="154"/>
        <v>93.425163218713834</v>
      </c>
      <c r="BL145" s="59" t="str">
        <f t="shared" si="158"/>
        <v>-6.49691436483727+71.2036269014373i</v>
      </c>
      <c r="BM145" s="64">
        <f t="shared" si="155"/>
        <v>37.086049798959536</v>
      </c>
      <c r="BN145" s="61">
        <f t="shared" si="159"/>
        <v>95.21346840844987</v>
      </c>
      <c r="BO145" s="50">
        <f t="shared" si="156"/>
        <v>21.640365917177267</v>
      </c>
      <c r="BP145" s="61">
        <f t="shared" si="157"/>
        <v>93.425163218713834</v>
      </c>
    </row>
    <row r="146" spans="14:68" x14ac:dyDescent="0.25">
      <c r="N146" s="11">
        <v>28</v>
      </c>
      <c r="O146" s="51">
        <f t="shared" si="160"/>
        <v>190.54607179632498</v>
      </c>
      <c r="P146" s="49" t="str">
        <f t="shared" si="107"/>
        <v>37.1583961085025</v>
      </c>
      <c r="Q146" s="18" t="str">
        <f t="shared" si="108"/>
        <v>1+0.938405669293133i</v>
      </c>
      <c r="R146" s="18">
        <f t="shared" si="121"/>
        <v>1.3713515961129343</v>
      </c>
      <c r="S146" s="18">
        <f t="shared" si="122"/>
        <v>0.75363308261789153</v>
      </c>
      <c r="T146" s="18" t="str">
        <f t="shared" si="109"/>
        <v>1+0.00107751265078631i</v>
      </c>
      <c r="U146" s="18">
        <f t="shared" si="123"/>
        <v>1.0000005805165879</v>
      </c>
      <c r="V146" s="18">
        <f t="shared" si="124"/>
        <v>1.0775122337771679E-3</v>
      </c>
      <c r="W146" s="32" t="str">
        <f t="shared" si="110"/>
        <v>1-0.0094313534971892i</v>
      </c>
      <c r="X146" s="18">
        <f t="shared" si="125"/>
        <v>1.000044474225416</v>
      </c>
      <c r="Y146" s="18">
        <f t="shared" si="126"/>
        <v>-9.4310738711335506E-3</v>
      </c>
      <c r="Z146" s="32" t="str">
        <f t="shared" si="111"/>
        <v>0.999999092304863+0.00227075814184227i</v>
      </c>
      <c r="AA146" s="18">
        <f t="shared" si="127"/>
        <v>1.0000016704751491</v>
      </c>
      <c r="AB146" s="18">
        <f t="shared" si="128"/>
        <v>2.2707563000661101E-3</v>
      </c>
      <c r="AC146" s="32" t="str">
        <f>IMDIV(IMSUM(COMPLEX(0,2*PI()*O146*Constants!$B$61*Constants!$B$62),COMPLEX(1,0)),IMSUM(COMPLEX(0,2*PI()*O146*Constants!$B$61*Constants!$B$62),COMPLEX(2,0)))</f>
        <v>0.500002866732977+0.00119722941433801i</v>
      </c>
      <c r="AD146" s="18">
        <f t="shared" si="129"/>
        <v>0.50000430008097507</v>
      </c>
      <c r="AE146" s="18">
        <f t="shared" si="130"/>
        <v>2.3944405241445245E-3</v>
      </c>
      <c r="AF146" s="66" t="str">
        <f t="shared" si="131"/>
        <v>9.80324969634687-9.35233583753218i</v>
      </c>
      <c r="AG146" s="64">
        <f t="shared" si="132"/>
        <v>22.6380144821233</v>
      </c>
      <c r="AH146" s="61">
        <f t="shared" si="133"/>
        <v>-43.651532177130143</v>
      </c>
      <c r="AI146" s="50" t="str">
        <f t="shared" si="112"/>
        <v>107.538871525172</v>
      </c>
      <c r="AJ146" s="50" t="str">
        <f t="shared" si="113"/>
        <v>1+0.892096512826334i</v>
      </c>
      <c r="AK146" s="50">
        <f t="shared" si="134"/>
        <v>1.3400881270263181</v>
      </c>
      <c r="AL146" s="50">
        <f t="shared" si="135"/>
        <v>0.72843133444426011</v>
      </c>
      <c r="AM146" s="50" t="str">
        <f t="shared" si="114"/>
        <v>1+0.00107751265078631i</v>
      </c>
      <c r="AN146" s="50">
        <f t="shared" si="136"/>
        <v>1.0000005805165879</v>
      </c>
      <c r="AO146" s="50">
        <f t="shared" si="137"/>
        <v>1.0775122337771679E-3</v>
      </c>
      <c r="AP146" s="50" t="str">
        <f t="shared" si="115"/>
        <v>1-0.00309803563231252i</v>
      </c>
      <c r="AQ146" s="50">
        <f t="shared" si="138"/>
        <v>1.0000047989008749</v>
      </c>
      <c r="AR146" s="50">
        <f t="shared" si="139"/>
        <v>-3.0980257209018772E-3</v>
      </c>
      <c r="AS146" s="59" t="str">
        <f t="shared" si="140"/>
        <v>59.7746009553337-53.5419978291628i</v>
      </c>
      <c r="AT146" s="50">
        <f t="shared" si="141"/>
        <v>38.088689033044581</v>
      </c>
      <c r="AU146" s="61">
        <f t="shared" si="142"/>
        <v>-41.851808024000135</v>
      </c>
      <c r="AV146" s="32" t="str">
        <f t="shared" si="116"/>
        <v>-0.0000333333333333333</v>
      </c>
      <c r="AW146" s="32" t="str">
        <f t="shared" si="117"/>
        <v>0.0000574673413752699i</v>
      </c>
      <c r="AX146" s="32">
        <f t="shared" si="143"/>
        <v>5.74673413752699E-5</v>
      </c>
      <c r="AY146" s="32">
        <f t="shared" si="144"/>
        <v>1.5707963267948966</v>
      </c>
      <c r="AZ146" s="32" t="str">
        <f t="shared" si="118"/>
        <v>1+0.0234458771235911i</v>
      </c>
      <c r="BA146" s="32">
        <f t="shared" si="145"/>
        <v>1.0002748168149063</v>
      </c>
      <c r="BB146" s="32">
        <f t="shared" si="146"/>
        <v>2.344158240225051E-2</v>
      </c>
      <c r="BC146" s="32" t="str">
        <f t="shared" si="119"/>
        <v>1+1.12540210193238i</v>
      </c>
      <c r="BD146" s="32">
        <f t="shared" si="147"/>
        <v>1.5054998807817352</v>
      </c>
      <c r="BE146" s="32">
        <f t="shared" si="148"/>
        <v>0.84433143015565082</v>
      </c>
      <c r="BF146" s="59" t="str">
        <f t="shared" si="149"/>
        <v>-0.638827071651576+0.595017454568599i</v>
      </c>
      <c r="BG146" s="50">
        <f t="shared" si="150"/>
        <v>-1.1796194005014897</v>
      </c>
      <c r="BH146" s="61">
        <f t="shared" si="151"/>
        <v>137.03352372140657</v>
      </c>
      <c r="BI146" s="59" t="str">
        <f t="shared" si="152"/>
        <v>-0.697778231867388+11.8076299970135i</v>
      </c>
      <c r="BJ146" s="64">
        <f t="shared" si="153"/>
        <v>21.458395081621823</v>
      </c>
      <c r="BK146" s="61">
        <f t="shared" si="154"/>
        <v>93.381991544276431</v>
      </c>
      <c r="BL146" s="59" t="str">
        <f t="shared" si="158"/>
        <v>-6.32721002661142+69.7710085918755i</v>
      </c>
      <c r="BM146" s="64">
        <f t="shared" si="155"/>
        <v>36.909069632543087</v>
      </c>
      <c r="BN146" s="61">
        <f t="shared" si="159"/>
        <v>95.181715697406446</v>
      </c>
      <c r="BO146" s="50">
        <f t="shared" si="156"/>
        <v>21.458395081621823</v>
      </c>
      <c r="BP146" s="61">
        <f t="shared" si="157"/>
        <v>93.381991544276431</v>
      </c>
    </row>
    <row r="147" spans="14:68" x14ac:dyDescent="0.25">
      <c r="N147" s="11">
        <v>29</v>
      </c>
      <c r="O147" s="51">
        <f t="shared" si="160"/>
        <v>194.98445997580458</v>
      </c>
      <c r="P147" s="49" t="str">
        <f t="shared" ref="P147:P210" si="161">COMPLEX(Adc,0)</f>
        <v>37.1583961085025</v>
      </c>
      <c r="Q147" s="18" t="str">
        <f t="shared" ref="Q147:Q210" si="162">IMSUM(COMPLEX(1,0),IMDIV(COMPLEX(0,2*PI()*O147),COMPLEX(wp_lf,0)))</f>
        <v>1+0.960263945304189i</v>
      </c>
      <c r="R147" s="18">
        <f t="shared" si="121"/>
        <v>1.3864006796922623</v>
      </c>
      <c r="S147" s="18">
        <f t="shared" si="122"/>
        <v>0.7651301716485458</v>
      </c>
      <c r="T147" s="18" t="str">
        <f t="shared" ref="T147:T210" si="163">IMSUM(COMPLEX(1,0),IMDIV(COMPLEX(0,2*PI()*O147),COMPLEX(wz_esr,0)))</f>
        <v>1+0.00110261114464349i</v>
      </c>
      <c r="U147" s="18">
        <f t="shared" si="123"/>
        <v>1.0000006078754833</v>
      </c>
      <c r="V147" s="18">
        <f t="shared" si="124"/>
        <v>1.1026106978101584E-3</v>
      </c>
      <c r="W147" s="32" t="str">
        <f t="shared" ref="W147:W210" si="164">IMSUB(COMPLEX(1,0),IMDIV(COMPLEX(0,2*PI()*O147),COMPLEX(wz_rhp,0)))</f>
        <v>1-0.00965103794139624i</v>
      </c>
      <c r="X147" s="18">
        <f t="shared" si="125"/>
        <v>1.0000465701822823</v>
      </c>
      <c r="Y147" s="18">
        <f t="shared" si="126"/>
        <v>-9.6507383174329418E-3</v>
      </c>
      <c r="Z147" s="32" t="str">
        <f t="shared" ref="Z147:Z210" si="165">IMSUM(COMPLEX(1,0),IMDIV(COMPLEX(0,2*PI()*O147),COMPLEX(Q*(wsl/2),0)),IMDIV(IMPOWER(COMPLEX(0,2*PI()*O147),2),IMPOWER(COMPLEX(wsl/2,0),2)))</f>
        <v>0.999999049526509+0.00232365089371164i</v>
      </c>
      <c r="AA147" s="18">
        <f t="shared" si="127"/>
        <v>1.0000017492021687</v>
      </c>
      <c r="AB147" s="18">
        <f t="shared" si="128"/>
        <v>2.3236489202130965E-3</v>
      </c>
      <c r="AC147" s="32" t="str">
        <f>IMDIV(IMSUM(COMPLEX(0,2*PI()*O147*Constants!$B$61*Constants!$B$62),COMPLEX(1,0)),IMSUM(COMPLEX(0,2*PI()*O147*Constants!$B$61*Constants!$B$62),COMPLEX(2,0)))</f>
        <v>0.500003001837129+0.00122511613880594i</v>
      </c>
      <c r="AD147" s="18">
        <f t="shared" si="129"/>
        <v>0.50000450273541897</v>
      </c>
      <c r="AE147" s="18">
        <f t="shared" si="130"/>
        <v>2.450212663973677E-3</v>
      </c>
      <c r="AF147" s="66" t="str">
        <f t="shared" si="131"/>
        <v>9.5880703065097-9.36355079113867i</v>
      </c>
      <c r="AG147" s="64">
        <f t="shared" si="132"/>
        <v>22.543236835020441</v>
      </c>
      <c r="AH147" s="61">
        <f t="shared" si="133"/>
        <v>-44.321249680568613</v>
      </c>
      <c r="AI147" s="50" t="str">
        <f t="shared" ref="AI147:AI210" si="166">COMPLEX($B$72,0)</f>
        <v>107.538871525172</v>
      </c>
      <c r="AJ147" s="50" t="str">
        <f t="shared" ref="AJ147:AJ210" si="167">IMSUM(COMPLEX(1,0),IMDIV(COMPLEX(0,2*PI()*O147),COMPLEX(wp_lf_DCM,0)))</f>
        <v>1+0.91287611001328i</v>
      </c>
      <c r="AK147" s="50">
        <f t="shared" si="134"/>
        <v>1.3540098936983356</v>
      </c>
      <c r="AL147" s="50">
        <f t="shared" si="135"/>
        <v>0.73988360028308886</v>
      </c>
      <c r="AM147" s="50" t="str">
        <f t="shared" ref="AM147:AM210" si="168">IMSUM(COMPLEX(1,0),IMDIV(COMPLEX(0,2*PI()*O147),COMPLEX(wz1_dcm,0)))</f>
        <v>1+0.00110261114464349i</v>
      </c>
      <c r="AN147" s="50">
        <f t="shared" si="136"/>
        <v>1.0000006078754833</v>
      </c>
      <c r="AO147" s="50">
        <f t="shared" si="137"/>
        <v>1.1026106978101584E-3</v>
      </c>
      <c r="AP147" s="50" t="str">
        <f t="shared" ref="AP147:AP210" si="169">IMSUB(COMPLEX(1,0),IMDIV(COMPLEX(0,2*PI()*O147),COMPLEX(wz2_dcm,0)))</f>
        <v>1-0.00317019815238146i</v>
      </c>
      <c r="AQ147" s="50">
        <f t="shared" si="138"/>
        <v>1.000005025065537</v>
      </c>
      <c r="AR147" s="50">
        <f t="shared" si="139"/>
        <v>-3.1701875321164964E-3</v>
      </c>
      <c r="AS147" s="59" t="str">
        <f t="shared" si="140"/>
        <v>58.546755988095-53.6682808339012i</v>
      </c>
      <c r="AT147" s="50">
        <f t="shared" si="141"/>
        <v>37.998921668966965</v>
      </c>
      <c r="AU147" s="61">
        <f t="shared" si="142"/>
        <v>-42.510671053590208</v>
      </c>
      <c r="AV147" s="32" t="str">
        <f t="shared" ref="AV147:AV210" si="170">COMPLEX(Adc_ea,0)</f>
        <v>-0.0000333333333333333</v>
      </c>
      <c r="AW147" s="32" t="str">
        <f t="shared" ref="AW147:AW210" si="171">COMPLEX(0,2*PI()*O147*wp0_ea)</f>
        <v>0.0000588059277143194i</v>
      </c>
      <c r="AX147" s="32">
        <f t="shared" si="143"/>
        <v>5.8805927714319398E-5</v>
      </c>
      <c r="AY147" s="32">
        <f t="shared" si="144"/>
        <v>1.5707963267948966</v>
      </c>
      <c r="AZ147" s="32" t="str">
        <f t="shared" ref="AZ147:AZ210" si="172">IMSUM(COMPLEX(1,0),IMDIV(COMPLEX(0,2*PI()*O147),COMPLEX(wp1_ea,0)))</f>
        <v>1+0.0239920017584463i</v>
      </c>
      <c r="BA147" s="32">
        <f t="shared" si="145"/>
        <v>1.0002877666693606</v>
      </c>
      <c r="BB147" s="32">
        <f t="shared" si="146"/>
        <v>2.3987399953117834E-2</v>
      </c>
      <c r="BC147" s="32" t="str">
        <f t="shared" ref="BC147:BC210" si="173">IMSUM(COMPLEX(1,0),IMDIV(COMPLEX(0,2*PI()*O147),COMPLEX(wz_ea,0)))</f>
        <v>1+1.15161608440542i</v>
      </c>
      <c r="BD147" s="32">
        <f t="shared" si="147"/>
        <v>1.5251949402818223</v>
      </c>
      <c r="BE147" s="32">
        <f t="shared" si="148"/>
        <v>0.85574801891970098</v>
      </c>
      <c r="BF147" s="59" t="str">
        <f t="shared" si="149"/>
        <v>-0.638810531083293+0.582162623823789i</v>
      </c>
      <c r="BG147" s="50">
        <f t="shared" si="150"/>
        <v>-1.2668392417276977</v>
      </c>
      <c r="BH147" s="61">
        <f t="shared" si="151"/>
        <v>137.65637303197417</v>
      </c>
      <c r="BI147" s="59" t="str">
        <f t="shared" si="152"/>
        <v>-0.67385098768881+11.5633510207573i</v>
      </c>
      <c r="BJ147" s="64">
        <f t="shared" si="153"/>
        <v>21.276397593292721</v>
      </c>
      <c r="BK147" s="61">
        <f t="shared" si="154"/>
        <v>93.335123351405542</v>
      </c>
      <c r="BL147" s="59" t="str">
        <f t="shared" si="158"/>
        <v>-6.15661709958304+68.3675960642323i</v>
      </c>
      <c r="BM147" s="64">
        <f t="shared" si="155"/>
        <v>36.73208242723927</v>
      </c>
      <c r="BN147" s="61">
        <f t="shared" si="159"/>
        <v>95.145701978383926</v>
      </c>
      <c r="BO147" s="50">
        <f t="shared" si="156"/>
        <v>21.276397593292721</v>
      </c>
      <c r="BP147" s="61">
        <f t="shared" si="157"/>
        <v>93.335123351405542</v>
      </c>
    </row>
    <row r="148" spans="14:68" x14ac:dyDescent="0.25">
      <c r="N148" s="11">
        <v>30</v>
      </c>
      <c r="O148" s="51">
        <f t="shared" si="160"/>
        <v>199.52623149688802</v>
      </c>
      <c r="P148" s="49" t="str">
        <f t="shared" si="161"/>
        <v>37.1583961085025</v>
      </c>
      <c r="Q148" s="18" t="str">
        <f t="shared" si="162"/>
        <v>1+0.982631365969647i</v>
      </c>
      <c r="R148" s="18">
        <f t="shared" ref="R148:R211" si="174">IMABS(Q148)</f>
        <v>1.4019858777417746</v>
      </c>
      <c r="S148" s="18">
        <f t="shared" ref="S148:S211" si="175">IMARGUMENT(Q148)</f>
        <v>0.77663799242815668</v>
      </c>
      <c r="T148" s="18" t="str">
        <f t="shared" si="163"/>
        <v>1+0.00112829425752435i</v>
      </c>
      <c r="U148" s="18">
        <f t="shared" ref="U148:U211" si="176">IMABS(T148)</f>
        <v>1.0000006365237633</v>
      </c>
      <c r="V148" s="18">
        <f t="shared" ref="V148:V211" si="177">IMARGUMENT(T148)</f>
        <v>1.1282937787338255E-3</v>
      </c>
      <c r="W148" s="32" t="str">
        <f t="shared" si="164"/>
        <v>1-0.00987583949366646i</v>
      </c>
      <c r="X148" s="18">
        <f t="shared" ref="X148:X211" si="178">IMABS(W148)</f>
        <v>1.0000487649138439</v>
      </c>
      <c r="Y148" s="18">
        <f t="shared" ref="Y148:Y211" si="179">IMARGUMENT(W148)</f>
        <v>-9.8755184416509951E-3</v>
      </c>
      <c r="Z148" s="32" t="str">
        <f t="shared" si="165"/>
        <v>0.999999004732074+0.00237777567604204i</v>
      </c>
      <c r="AA148" s="18">
        <f t="shared" ref="AA148:AA211" si="180">IMABS(Z148)</f>
        <v>1.0000018316394745</v>
      </c>
      <c r="AB148" s="18">
        <f t="shared" ref="AB148:AB211" si="181">IMARGUMENT(Z148)</f>
        <v>2.377773561400438E-3</v>
      </c>
      <c r="AC148" s="32" t="str">
        <f>IMDIV(IMSUM(COMPLEX(0,2*PI()*O148*Constants!$B$61*Constants!$B$62),COMPLEX(1,0)),IMSUM(COMPLEX(0,2*PI()*O148*Constants!$B$61*Constants!$B$62),COMPLEX(2,0)))</f>
        <v>0.500003143308465+0.00125365240485618i</v>
      </c>
      <c r="AD148" s="18">
        <f t="shared" ref="AD148:AD211" si="182">IMABS(AC148)</f>
        <v>0.50000471494046694</v>
      </c>
      <c r="AE148" s="18">
        <f t="shared" ref="AE148:AE211" si="183">IMARGUMENT(AC148)</f>
        <v>2.50728379334357E-3</v>
      </c>
      <c r="AF148" s="66" t="str">
        <f t="shared" ref="AF148:AF211" si="184">(IMDIV(IMPRODUCT(P148,T148,W148,AC148),IMPRODUCT(Q148,Z148)))</f>
        <v>9.3724890327021-9.36981906835188i</v>
      </c>
      <c r="AG148" s="64">
        <f t="shared" ref="AG148:AG211" si="185">20*LOG(IMABS(AF148))</f>
        <v>22.446161589133244</v>
      </c>
      <c r="AH148" s="61">
        <f t="shared" ref="AH148:AH211" si="186">(180/PI())*IMARGUMENT(AF148)</f>
        <v>-44.99183784159036</v>
      </c>
      <c r="AI148" s="50" t="str">
        <f t="shared" si="166"/>
        <v>107.538871525172</v>
      </c>
      <c r="AJ148" s="50" t="str">
        <f t="shared" si="167"/>
        <v>1+0.934139726197106i</v>
      </c>
      <c r="AK148" s="50">
        <f t="shared" ref="AK148:AK211" si="187">IMABS(AJ148)</f>
        <v>1.3684359787946252</v>
      </c>
      <c r="AL148" s="50">
        <f t="shared" ref="AL148:AL211" si="188">IMARGUMENT(AJ148)</f>
        <v>0.75135985914598258</v>
      </c>
      <c r="AM148" s="50" t="str">
        <f t="shared" si="168"/>
        <v>1+0.00112829425752435i</v>
      </c>
      <c r="AN148" s="50">
        <f t="shared" ref="AN148:AN211" si="189">IMABS(AM148)</f>
        <v>1.0000006365237633</v>
      </c>
      <c r="AO148" s="50">
        <f t="shared" ref="AO148:AO211" si="190">IMARGUMENT(AM148)</f>
        <v>1.1282937787338255E-3</v>
      </c>
      <c r="AP148" s="50" t="str">
        <f t="shared" si="169"/>
        <v>1-0.00324404155347335i</v>
      </c>
      <c r="AQ148" s="50">
        <f t="shared" ref="AQ148:AQ211" si="191">IMABS(AP148)</f>
        <v>1.0000052618889566</v>
      </c>
      <c r="AR148" s="50">
        <f t="shared" ref="AR148:AR211" si="192">IMARGUMENT(AP148)</f>
        <v>-3.2440301736576488E-3</v>
      </c>
      <c r="AS148" s="59" t="str">
        <f t="shared" ref="AS148:AS211" si="193">(IMDIV(IMPRODUCT(AI148,AM148,AP148),IMPRODUCT(AJ148)))</f>
        <v>57.3137610742353-53.7665861538513i</v>
      </c>
      <c r="AT148" s="50">
        <f t="shared" ref="AT148:AT211" si="194">20*LOG(IMABS(AS148))</f>
        <v>37.90687104760562</v>
      </c>
      <c r="AU148" s="61">
        <f t="shared" ref="AU148:AU211" si="195">(180/PI())*IMARGUMENT(AS148)</f>
        <v>-43.170971590600168</v>
      </c>
      <c r="AV148" s="32" t="str">
        <f t="shared" si="170"/>
        <v>-0.0000333333333333333</v>
      </c>
      <c r="AW148" s="32" t="str">
        <f t="shared" si="171"/>
        <v>0.0000601756937346317i</v>
      </c>
      <c r="AX148" s="32">
        <f t="shared" ref="AX148:AX211" si="196">IMABS(AW148)</f>
        <v>6.0175693734631697E-5</v>
      </c>
      <c r="AY148" s="32">
        <f t="shared" ref="AY148:AY211" si="197">IMARGUMENT(AW148)</f>
        <v>1.5707963267948966</v>
      </c>
      <c r="AZ148" s="32" t="str">
        <f t="shared" si="172"/>
        <v>1+0.0245508472702057i</v>
      </c>
      <c r="BA148" s="32">
        <f t="shared" ref="BA148:BA211" si="198">IMABS(AZ148)</f>
        <v>1.0003013266519669</v>
      </c>
      <c r="BB148" s="32">
        <f t="shared" ref="BB148:BB211" si="199">IMARGUMENT(AZ148)</f>
        <v>2.4545916427177003E-2</v>
      </c>
      <c r="BC148" s="32" t="str">
        <f t="shared" si="173"/>
        <v>1+1.17844066896987i</v>
      </c>
      <c r="BD148" s="32">
        <f t="shared" ref="BD148:BD211" si="200">IMABS(BC148)</f>
        <v>1.5455492260947741</v>
      </c>
      <c r="BE148" s="32">
        <f t="shared" ref="BE148:BE211" si="201">IMARGUMENT(BC148)</f>
        <v>0.86712780715429671</v>
      </c>
      <c r="BF148" s="59" t="str">
        <f t="shared" ref="BF148:BF211" si="202">IMPRODUCT(AV148,IMDIV(BC148,IMPRODUCT(AW148,AZ148)))</f>
        <v>-0.638793211900069+0.569616426015469i</v>
      </c>
      <c r="BG148" s="50">
        <f t="shared" ref="BG148:BG211" si="203">20*LOG(IMABS(BF148))</f>
        <v>-1.351807264905923</v>
      </c>
      <c r="BH148" s="61">
        <f t="shared" ref="BH148:BH211" si="204">(180/PI())*IMARGUMENT(BF148)</f>
        <v>138.27638623281703</v>
      </c>
      <c r="BI148" s="59" t="str">
        <f t="shared" ref="BI148:BI211" si="205">IMPRODUCT(AF148,BF148)</f>
        <v>-0.649879522571756+11.324100523272i</v>
      </c>
      <c r="BJ148" s="64">
        <f t="shared" ref="BJ148:BJ211" si="206">20*LOG(IMABS(BI148))</f>
        <v>21.094354324227353</v>
      </c>
      <c r="BK148" s="61">
        <f t="shared" ref="BK148:BK211" si="207">(180/PI())*IMARGUMENT(BI148)</f>
        <v>93.284548391226664</v>
      </c>
      <c r="BL148" s="59" t="str">
        <f t="shared" si="158"/>
        <v>-5.98531087867434+66.9925900067309i</v>
      </c>
      <c r="BM148" s="64">
        <f t="shared" ref="BM148:BM211" si="208">20*LOG(IMABS(BL148))</f>
        <v>36.555063782699698</v>
      </c>
      <c r="BN148" s="61">
        <f t="shared" si="159"/>
        <v>95.105414642216857</v>
      </c>
      <c r="BO148" s="50">
        <f t="shared" ref="BO148:BO211" si="209">IF($B$31=0,BM148,BJ148)</f>
        <v>21.094354324227353</v>
      </c>
      <c r="BP148" s="61">
        <f t="shared" ref="BP148:BP211" si="210">IF($B$31=0,BN148,BK148)</f>
        <v>93.284548391226664</v>
      </c>
    </row>
    <row r="149" spans="14:68" x14ac:dyDescent="0.25">
      <c r="N149" s="11">
        <v>31</v>
      </c>
      <c r="O149" s="51">
        <f t="shared" si="160"/>
        <v>204.17379446695315</v>
      </c>
      <c r="P149" s="49" t="str">
        <f t="shared" si="161"/>
        <v>37.1583961085025</v>
      </c>
      <c r="Q149" s="18" t="str">
        <f t="shared" si="162"/>
        <v>1+1.005519790792i</v>
      </c>
      <c r="R149" s="18">
        <f t="shared" si="174"/>
        <v>1.4181220150869909</v>
      </c>
      <c r="S149" s="18">
        <f t="shared" si="175"/>
        <v>0.78815045578551435</v>
      </c>
      <c r="T149" s="18" t="str">
        <f t="shared" si="163"/>
        <v>1+0.00115457560695528i</v>
      </c>
      <c r="U149" s="18">
        <f t="shared" si="176"/>
        <v>1.0000006665221939</v>
      </c>
      <c r="V149" s="18">
        <f t="shared" si="177"/>
        <v>1.1545750939220083E-3</v>
      </c>
      <c r="W149" s="32" t="str">
        <f t="shared" si="164"/>
        <v>1-0.0101058773467584i</v>
      </c>
      <c r="X149" s="18">
        <f t="shared" si="178"/>
        <v>1.000051063074755</v>
      </c>
      <c r="Y149" s="18">
        <f t="shared" si="179"/>
        <v>-1.0105533334274532E-2</v>
      </c>
      <c r="Z149" s="32" t="str">
        <f t="shared" si="165"/>
        <v>0.999998957826541+0.00243316118650945i</v>
      </c>
      <c r="AA149" s="18">
        <f t="shared" si="180"/>
        <v>1.0000019179619246</v>
      </c>
      <c r="AB149" s="18">
        <f t="shared" si="181"/>
        <v>2.4331589206303622E-3</v>
      </c>
      <c r="AC149" s="32" t="str">
        <f>IMDIV(IMSUM(COMPLEX(0,2*PI()*O149*Constants!$B$61*Constants!$B$62),COMPLEX(1,0)),IMSUM(COMPLEX(0,2*PI()*O149*Constants!$B$61*Constants!$B$62),COMPLEX(2,0)))</f>
        <v>0.500003291447054+0.00128285334056258i</v>
      </c>
      <c r="AD149" s="18">
        <f t="shared" si="182"/>
        <v>0.50000493714620564</v>
      </c>
      <c r="AE149" s="18">
        <f t="shared" si="183"/>
        <v>2.565684161706295E-3</v>
      </c>
      <c r="AF149" s="66" t="str">
        <f t="shared" si="184"/>
        <v>9.15673378452558-9.37112410794646i</v>
      </c>
      <c r="AG149" s="64">
        <f t="shared" si="185"/>
        <v>22.346785718073438</v>
      </c>
      <c r="AH149" s="61">
        <f t="shared" si="186"/>
        <v>-45.662953730599597</v>
      </c>
      <c r="AI149" s="50" t="str">
        <f t="shared" si="166"/>
        <v>107.538871525172</v>
      </c>
      <c r="AJ149" s="50" t="str">
        <f t="shared" si="167"/>
        <v>1+0.955898635628558i</v>
      </c>
      <c r="AK149" s="50">
        <f t="shared" si="187"/>
        <v>1.383380714625059</v>
      </c>
      <c r="AL149" s="50">
        <f t="shared" si="188"/>
        <v>0.76285410511352525</v>
      </c>
      <c r="AM149" s="50" t="str">
        <f t="shared" si="168"/>
        <v>1+0.00115457560695528i</v>
      </c>
      <c r="AN149" s="50">
        <f t="shared" si="189"/>
        <v>1.0000006665221939</v>
      </c>
      <c r="AO149" s="50">
        <f t="shared" si="190"/>
        <v>1.1545750939220083E-3</v>
      </c>
      <c r="AP149" s="50" t="str">
        <f t="shared" si="169"/>
        <v>1-0.00331960498833684i</v>
      </c>
      <c r="AQ149" s="50">
        <f t="shared" si="191"/>
        <v>1.0000055098734599</v>
      </c>
      <c r="AR149" s="50">
        <f t="shared" si="192"/>
        <v>-3.3195927946482549E-3</v>
      </c>
      <c r="AS149" s="59" t="str">
        <f t="shared" si="193"/>
        <v>56.0768982777347-53.8366553704607i</v>
      </c>
      <c r="AT149" s="50">
        <f t="shared" si="194"/>
        <v>37.812528804191153</v>
      </c>
      <c r="AU149" s="61">
        <f t="shared" si="195"/>
        <v>-43.832366984057032</v>
      </c>
      <c r="AV149" s="32" t="str">
        <f t="shared" si="170"/>
        <v>-0.0000333333333333333</v>
      </c>
      <c r="AW149" s="32" t="str">
        <f t="shared" si="171"/>
        <v>0.0000615773657042815i</v>
      </c>
      <c r="AX149" s="32">
        <f t="shared" si="196"/>
        <v>6.1577365704281497E-5</v>
      </c>
      <c r="AY149" s="32">
        <f t="shared" si="197"/>
        <v>1.5707963267948966</v>
      </c>
      <c r="AZ149" s="32" t="str">
        <f t="shared" si="172"/>
        <v>1+0.0251227099661564i</v>
      </c>
      <c r="BA149" s="32">
        <f t="shared" si="198"/>
        <v>1.0003155254998513</v>
      </c>
      <c r="BB149" s="32">
        <f t="shared" si="199"/>
        <v>2.5117426562664472E-2</v>
      </c>
      <c r="BC149" s="32" t="str">
        <f t="shared" si="173"/>
        <v>1+1.20589007837551i</v>
      </c>
      <c r="BD149" s="32">
        <f t="shared" si="200"/>
        <v>1.5665793567912523</v>
      </c>
      <c r="BE149" s="32">
        <f t="shared" si="201"/>
        <v>0.87846504001336756</v>
      </c>
      <c r="BF149" s="59" t="str">
        <f t="shared" si="202"/>
        <v>-0.638775077495389+0.557372206312473i</v>
      </c>
      <c r="BG149" s="50">
        <f t="shared" si="203"/>
        <v>-1.4345394077187308</v>
      </c>
      <c r="BH149" s="61">
        <f t="shared" si="204"/>
        <v>138.89321670828647</v>
      </c>
      <c r="BI149" s="59" t="str">
        <f t="shared" si="205"/>
        <v>-0.62588921314085+11.0897494403694i</v>
      </c>
      <c r="BJ149" s="64">
        <f t="shared" si="206"/>
        <v>20.912246310354718</v>
      </c>
      <c r="BK149" s="61">
        <f t="shared" si="207"/>
        <v>93.230262977686877</v>
      </c>
      <c r="BL149" s="59" t="str">
        <f t="shared" si="158"/>
        <v>-5.8134696587431+65.6452182225797i</v>
      </c>
      <c r="BM149" s="64">
        <f t="shared" si="208"/>
        <v>36.377989396472422</v>
      </c>
      <c r="BN149" s="61">
        <f t="shared" si="159"/>
        <v>95.060849724229456</v>
      </c>
      <c r="BO149" s="50">
        <f t="shared" si="209"/>
        <v>20.912246310354718</v>
      </c>
      <c r="BP149" s="61">
        <f t="shared" si="210"/>
        <v>93.230262977686877</v>
      </c>
    </row>
    <row r="150" spans="14:68" x14ac:dyDescent="0.25">
      <c r="N150" s="11">
        <v>32</v>
      </c>
      <c r="O150" s="51">
        <f t="shared" si="160"/>
        <v>208.92961308540396</v>
      </c>
      <c r="P150" s="49" t="str">
        <f t="shared" si="161"/>
        <v>37.1583961085025</v>
      </c>
      <c r="Q150" s="18" t="str">
        <f t="shared" si="162"/>
        <v>1+1.02894135551707i</v>
      </c>
      <c r="R150" s="18">
        <f t="shared" si="174"/>
        <v>1.4348241401277388</v>
      </c>
      <c r="S150" s="18">
        <f t="shared" si="175"/>
        <v>0.79966146025724927</v>
      </c>
      <c r="T150" s="18" t="str">
        <f t="shared" si="163"/>
        <v>1+0.00118146912765564i</v>
      </c>
      <c r="U150" s="18">
        <f t="shared" si="176"/>
        <v>1.0000006979344063</v>
      </c>
      <c r="V150" s="18">
        <f t="shared" si="177"/>
        <v>1.1814685779306059E-3</v>
      </c>
      <c r="W150" s="32" t="str">
        <f t="shared" si="164"/>
        <v>1-0.0103412734697867i</v>
      </c>
      <c r="X150" s="18">
        <f t="shared" si="178"/>
        <v>1.0000534695389927</v>
      </c>
      <c r="Y150" s="18">
        <f t="shared" si="179"/>
        <v>-1.0340904854833428E-2</v>
      </c>
      <c r="Z150" s="32" t="str">
        <f t="shared" si="165"/>
        <v>0.999998908710419+0.00248983679124465i</v>
      </c>
      <c r="AA150" s="18">
        <f t="shared" si="180"/>
        <v>1.0000020083526213</v>
      </c>
      <c r="AB150" s="18">
        <f t="shared" si="181"/>
        <v>2.4898343633117013E-3</v>
      </c>
      <c r="AC150" s="32" t="str">
        <f>IMDIV(IMSUM(COMPLEX(0,2*PI()*O150*Constants!$B$61*Constants!$B$62),COMPLEX(1,0)),IMSUM(COMPLEX(0,2*PI()*O150*Constants!$B$61*Constants!$B$62),COMPLEX(2,0)))</f>
        <v>0.500003446567105+0.00131273442625597i</v>
      </c>
      <c r="AD150" s="18">
        <f t="shared" si="182"/>
        <v>0.50000516982393073</v>
      </c>
      <c r="AE150" s="18">
        <f t="shared" si="183"/>
        <v>2.6254447225490815E-3</v>
      </c>
      <c r="AF150" s="66" t="str">
        <f t="shared" si="184"/>
        <v>8.94103320828594-9.36746248084546i</v>
      </c>
      <c r="AG150" s="64">
        <f t="shared" si="185"/>
        <v>22.245108634575491</v>
      </c>
      <c r="AH150" s="61">
        <f t="shared" si="186"/>
        <v>-46.334253852151697</v>
      </c>
      <c r="AI150" s="50" t="str">
        <f t="shared" si="166"/>
        <v>107.538871525172</v>
      </c>
      <c r="AJ150" s="50" t="str">
        <f t="shared" si="167"/>
        <v>1+0.978164375169443i</v>
      </c>
      <c r="AK150" s="50">
        <f t="shared" si="187"/>
        <v>1.398858657924605</v>
      </c>
      <c r="AL150" s="50">
        <f t="shared" si="188"/>
        <v>0.77436028488843955</v>
      </c>
      <c r="AM150" s="50" t="str">
        <f t="shared" si="168"/>
        <v>1+0.00118146912765564i</v>
      </c>
      <c r="AN150" s="50">
        <f t="shared" si="189"/>
        <v>1.0000006979344063</v>
      </c>
      <c r="AO150" s="50">
        <f t="shared" si="190"/>
        <v>1.1814685779306059E-3</v>
      </c>
      <c r="AP150" s="50" t="str">
        <f t="shared" si="169"/>
        <v>1-0.00339692852170534i</v>
      </c>
      <c r="AQ150" s="50">
        <f t="shared" si="191"/>
        <v>1.0000057695450468</v>
      </c>
      <c r="AR150" s="50">
        <f t="shared" si="192"/>
        <v>-3.3969154559366902E-3</v>
      </c>
      <c r="AS150" s="59" t="str">
        <f t="shared" si="193"/>
        <v>54.8374659358913-53.8783036062026i</v>
      </c>
      <c r="AT150" s="50">
        <f t="shared" si="194"/>
        <v>37.715888969105947</v>
      </c>
      <c r="AU150" s="61">
        <f t="shared" si="195"/>
        <v>-44.49451190250079</v>
      </c>
      <c r="AV150" s="32" t="str">
        <f t="shared" si="170"/>
        <v>-0.0000333333333333333</v>
      </c>
      <c r="AW150" s="32" t="str">
        <f t="shared" si="171"/>
        <v>0.0000630116868083005i</v>
      </c>
      <c r="AX150" s="32">
        <f t="shared" si="196"/>
        <v>6.3011686808300496E-5</v>
      </c>
      <c r="AY150" s="32">
        <f t="shared" si="197"/>
        <v>1.5707963267948966</v>
      </c>
      <c r="AZ150" s="32" t="str">
        <f t="shared" si="172"/>
        <v>1+0.0257078930554699i</v>
      </c>
      <c r="BA150" s="32">
        <f t="shared" si="198"/>
        <v>1.0003303933028085</v>
      </c>
      <c r="BB150" s="32">
        <f t="shared" si="199"/>
        <v>2.570223188761336E-2</v>
      </c>
      <c r="BC150" s="32" t="str">
        <f t="shared" si="173"/>
        <v>1+1.23397886666256i</v>
      </c>
      <c r="BD150" s="32">
        <f t="shared" si="200"/>
        <v>1.5883021889331439</v>
      </c>
      <c r="BE150" s="32">
        <f t="shared" si="201"/>
        <v>0.88975407178918009</v>
      </c>
      <c r="BF150" s="59" t="str">
        <f t="shared" si="202"/>
        <v>-0.638756089546073+0.545423469805789i</v>
      </c>
      <c r="BG150" s="50">
        <f t="shared" si="203"/>
        <v>-1.515053806332227</v>
      </c>
      <c r="BH150" s="61">
        <f t="shared" si="204"/>
        <v>139.50652370687334</v>
      </c>
      <c r="BI150" s="59" t="str">
        <f t="shared" si="205"/>
        <v>-0.601905519048032+10.8601730593465i</v>
      </c>
      <c r="BJ150" s="64">
        <f t="shared" si="206"/>
        <v>20.730054828243262</v>
      </c>
      <c r="BK150" s="61">
        <f t="shared" si="207"/>
        <v>93.172269854721648</v>
      </c>
      <c r="BL150" s="59" t="str">
        <f t="shared" si="158"/>
        <v>-5.64127400168113+64.3247354689847i</v>
      </c>
      <c r="BM150" s="64">
        <f t="shared" si="208"/>
        <v>36.200835162773728</v>
      </c>
      <c r="BN150" s="61">
        <f t="shared" si="159"/>
        <v>95.012011804372534</v>
      </c>
      <c r="BO150" s="50">
        <f t="shared" si="209"/>
        <v>20.730054828243262</v>
      </c>
      <c r="BP150" s="61">
        <f t="shared" si="210"/>
        <v>93.172269854721648</v>
      </c>
    </row>
    <row r="151" spans="14:68" x14ac:dyDescent="0.25">
      <c r="N151" s="11">
        <v>33</v>
      </c>
      <c r="O151" s="51">
        <f t="shared" si="160"/>
        <v>213.79620895022339</v>
      </c>
      <c r="P151" s="49" t="str">
        <f t="shared" si="161"/>
        <v>37.1583961085025</v>
      </c>
      <c r="Q151" s="18" t="str">
        <f t="shared" si="162"/>
        <v>1+1.05290847856848i</v>
      </c>
      <c r="R151" s="18">
        <f t="shared" si="174"/>
        <v>1.4521075250274653</v>
      </c>
      <c r="S151" s="18">
        <f t="shared" si="175"/>
        <v>0.81116490824395449</v>
      </c>
      <c r="T151" s="18" t="str">
        <f t="shared" si="163"/>
        <v>1+0.00120898907892607i</v>
      </c>
      <c r="U151" s="18">
        <f t="shared" si="176"/>
        <v>1.0000007308270293</v>
      </c>
      <c r="V151" s="18">
        <f t="shared" si="177"/>
        <v>1.2089884898851067E-3</v>
      </c>
      <c r="W151" s="32" t="str">
        <f t="shared" si="164"/>
        <v>1-0.0105821526728916i</v>
      </c>
      <c r="X151" s="18">
        <f t="shared" si="178"/>
        <v>1.0000559894101892</v>
      </c>
      <c r="Y151" s="18">
        <f t="shared" si="179"/>
        <v>-1.0581757696047276E-2</v>
      </c>
      <c r="Z151" s="32" t="str">
        <f t="shared" si="165"/>
        <v>0.999998857279526+0.00254783254040345i</v>
      </c>
      <c r="AA151" s="18">
        <f t="shared" si="180"/>
        <v>1.0000021030032944</v>
      </c>
      <c r="AB151" s="18">
        <f t="shared" si="181"/>
        <v>2.5478299388266884E-3</v>
      </c>
      <c r="AC151" s="32" t="str">
        <f>IMDIV(IMSUM(COMPLEX(0,2*PI()*O151*Constants!$B$61*Constants!$B$62),COMPLEX(1,0)),IMSUM(COMPLEX(0,2*PI()*O151*Constants!$B$61*Constants!$B$62),COMPLEX(2,0)))</f>
        <v>0.500003608997636+0.00134331150272068i</v>
      </c>
      <c r="AD151" s="18">
        <f t="shared" si="182"/>
        <v>0.50000541346714855</v>
      </c>
      <c r="AE151" s="18">
        <f t="shared" si="183"/>
        <v>2.6865971497530808E-3</v>
      </c>
      <c r="AF151" s="66" t="str">
        <f t="shared" si="184"/>
        <v>8.72561571864743-9.35884391229444i</v>
      </c>
      <c r="AG151" s="64">
        <f t="shared" si="185"/>
        <v>22.141132193298844</v>
      </c>
      <c r="AH151" s="61">
        <f t="shared" si="186"/>
        <v>-47.005395073837732</v>
      </c>
      <c r="AI151" s="50" t="str">
        <f t="shared" si="166"/>
        <v>107.538871525172</v>
      </c>
      <c r="AJ151" s="50" t="str">
        <f t="shared" si="167"/>
        <v>1+1.00094875040957i</v>
      </c>
      <c r="AK151" s="50">
        <f t="shared" si="187"/>
        <v>1.4148845892674353</v>
      </c>
      <c r="AL151" s="50">
        <f t="shared" si="188"/>
        <v>0.78587231364156473</v>
      </c>
      <c r="AM151" s="50" t="str">
        <f t="shared" si="168"/>
        <v>1+0.00120898907892607i</v>
      </c>
      <c r="AN151" s="50">
        <f t="shared" si="189"/>
        <v>1.0000007308270293</v>
      </c>
      <c r="AO151" s="50">
        <f t="shared" si="190"/>
        <v>1.2089884898851067E-3</v>
      </c>
      <c r="AP151" s="50" t="str">
        <f t="shared" si="169"/>
        <v>1-0.00347605315153969i</v>
      </c>
      <c r="AQ151" s="50">
        <f t="shared" si="191"/>
        <v>1.0000060414545067</v>
      </c>
      <c r="AR151" s="50">
        <f t="shared" si="192"/>
        <v>-3.4760391513209122E-3</v>
      </c>
      <c r="AS151" s="59" t="str">
        <f t="shared" si="193"/>
        <v>53.596773239154-53.8914207117604i</v>
      </c>
      <c r="AT151" s="50">
        <f t="shared" si="194"/>
        <v>37.616947993082157</v>
      </c>
      <c r="AU151" s="61">
        <f t="shared" si="195"/>
        <v>-45.157059242685577</v>
      </c>
      <c r="AV151" s="32" t="str">
        <f t="shared" si="170"/>
        <v>-0.0000333333333333333</v>
      </c>
      <c r="AW151" s="32" t="str">
        <f t="shared" si="171"/>
        <v>0.0000644794175427235i</v>
      </c>
      <c r="AX151" s="32">
        <f t="shared" si="196"/>
        <v>6.4479417542723504E-5</v>
      </c>
      <c r="AY151" s="32">
        <f t="shared" si="197"/>
        <v>1.5707963267948966</v>
      </c>
      <c r="AZ151" s="32" t="str">
        <f t="shared" si="172"/>
        <v>1+0.0263067068099654i</v>
      </c>
      <c r="BA151" s="32">
        <f t="shared" si="198"/>
        <v>1.0003459615668899</v>
      </c>
      <c r="BB151" s="32">
        <f t="shared" si="199"/>
        <v>2.6300640872616146E-2</v>
      </c>
      <c r="BC151" s="32" t="str">
        <f t="shared" si="173"/>
        <v>1+1.26272192687834i</v>
      </c>
      <c r="BD151" s="32">
        <f t="shared" si="200"/>
        <v>1.6107348213220412</v>
      </c>
      <c r="BE151" s="32">
        <f t="shared" si="201"/>
        <v>0.90098937920316302</v>
      </c>
      <c r="BF151" s="59" t="str">
        <f t="shared" si="202"/>
        <v>-0.638736207932136+0.533763878051283i</v>
      </c>
      <c r="BG151" s="50">
        <f t="shared" si="203"/>
        <v>-1.5933707236591563</v>
      </c>
      <c r="BH151" s="61">
        <f t="shared" si="204"/>
        <v>140.11597309396319</v>
      </c>
      <c r="BI151" s="59" t="str">
        <f t="shared" si="205"/>
        <v>-0.577953875298978+10.6352509555382i</v>
      </c>
      <c r="BJ151" s="64">
        <f t="shared" si="206"/>
        <v>20.547761469639696</v>
      </c>
      <c r="BK151" s="61">
        <f t="shared" si="207"/>
        <v>93.110578020125459</v>
      </c>
      <c r="BL151" s="59" t="str">
        <f t="shared" si="158"/>
        <v>-5.46890598337335+63.0304232406713i</v>
      </c>
      <c r="BM151" s="64">
        <f t="shared" si="208"/>
        <v>36.023577269423001</v>
      </c>
      <c r="BN151" s="61">
        <f t="shared" si="159"/>
        <v>94.958913851277629</v>
      </c>
      <c r="BO151" s="50">
        <f t="shared" si="209"/>
        <v>20.547761469639696</v>
      </c>
      <c r="BP151" s="61">
        <f t="shared" si="210"/>
        <v>93.110578020125459</v>
      </c>
    </row>
    <row r="152" spans="14:68" x14ac:dyDescent="0.25">
      <c r="N152" s="11">
        <v>34</v>
      </c>
      <c r="O152" s="51">
        <f t="shared" si="160"/>
        <v>218.77616239495524</v>
      </c>
      <c r="P152" s="49" t="str">
        <f t="shared" si="161"/>
        <v>37.1583961085025</v>
      </c>
      <c r="Q152" s="18" t="str">
        <f t="shared" si="162"/>
        <v>1+1.07743386763211i</v>
      </c>
      <c r="R152" s="18">
        <f t="shared" si="174"/>
        <v>1.4699876663158393</v>
      </c>
      <c r="S152" s="18">
        <f t="shared" si="175"/>
        <v>0.82265472214141799</v>
      </c>
      <c r="T152" s="18" t="str">
        <f t="shared" si="163"/>
        <v>1+0.00123715005220901i</v>
      </c>
      <c r="U152" s="18">
        <f t="shared" si="176"/>
        <v>1.0000007652698331</v>
      </c>
      <c r="V152" s="18">
        <f t="shared" si="177"/>
        <v>1.2371494210402722E-3</v>
      </c>
      <c r="W152" s="32" t="str">
        <f t="shared" si="164"/>
        <v>1-0.010828642673415i</v>
      </c>
      <c r="X152" s="18">
        <f t="shared" si="178"/>
        <v>1.0000586280324513</v>
      </c>
      <c r="Y152" s="18">
        <f t="shared" si="179"/>
        <v>-1.0828219449441212E-2</v>
      </c>
      <c r="Z152" s="32" t="str">
        <f t="shared" si="165"/>
        <v>0.999998803424769+0.00260717918409972i</v>
      </c>
      <c r="AA152" s="18">
        <f t="shared" si="180"/>
        <v>1.0000022021147092</v>
      </c>
      <c r="AB152" s="18">
        <f t="shared" si="181"/>
        <v>2.607176396460294E-3</v>
      </c>
      <c r="AC152" s="32" t="str">
        <f>IMDIV(IMSUM(COMPLEX(0,2*PI()*O152*Constants!$B$61*Constants!$B$62),COMPLEX(1,0)),IMSUM(COMPLEX(0,2*PI()*O152*Constants!$B$61*Constants!$B$62),COMPLEX(2,0)))</f>
        <v>0.500003779083169+0.00137460077958125i</v>
      </c>
      <c r="AD152" s="18">
        <f t="shared" si="182"/>
        <v>0.50000566859262074</v>
      </c>
      <c r="AE152" s="18">
        <f t="shared" si="183"/>
        <v>2.7491738543301129E-3</v>
      </c>
      <c r="AF152" s="66" t="str">
        <f t="shared" si="184"/>
        <v>8.51070853236876-9.34529121912727i</v>
      </c>
      <c r="AG152" s="64">
        <f t="shared" si="185"/>
        <v>22.034860683304409</v>
      </c>
      <c r="AH152" s="61">
        <f t="shared" si="186"/>
        <v>-47.676035553814941</v>
      </c>
      <c r="AI152" s="50" t="str">
        <f t="shared" si="166"/>
        <v>107.538871525172</v>
      </c>
      <c r="AJ152" s="50" t="str">
        <f t="shared" si="167"/>
        <v>1+1.02426384192629i</v>
      </c>
      <c r="AK152" s="50">
        <f t="shared" si="187"/>
        <v>1.4314735128103502</v>
      </c>
      <c r="AL152" s="50">
        <f t="shared" si="188"/>
        <v>0.79738409106073671</v>
      </c>
      <c r="AM152" s="50" t="str">
        <f t="shared" si="168"/>
        <v>1+0.00123715005220901i</v>
      </c>
      <c r="AN152" s="50">
        <f t="shared" si="189"/>
        <v>1.0000007652698331</v>
      </c>
      <c r="AO152" s="50">
        <f t="shared" si="190"/>
        <v>1.2371494210402722E-3</v>
      </c>
      <c r="AP152" s="50" t="str">
        <f t="shared" si="169"/>
        <v>1-0.003557020830766i</v>
      </c>
      <c r="AQ152" s="50">
        <f t="shared" si="191"/>
        <v>1.000006326178585</v>
      </c>
      <c r="AR152" s="50">
        <f t="shared" si="192"/>
        <v>-3.5570058292664275E-3</v>
      </c>
      <c r="AS152" s="59" t="str">
        <f t="shared" si="193"/>
        <v>52.3561347137586-53.8759719759351i</v>
      </c>
      <c r="AT152" s="50">
        <f t="shared" si="194"/>
        <v>37.515704762244077</v>
      </c>
      <c r="AU152" s="61">
        <f t="shared" si="195"/>
        <v>-45.819661049923312</v>
      </c>
      <c r="AV152" s="32" t="str">
        <f t="shared" si="170"/>
        <v>-0.0000333333333333333</v>
      </c>
      <c r="AW152" s="32" t="str">
        <f t="shared" si="171"/>
        <v>0.0000659813361178137i</v>
      </c>
      <c r="AX152" s="32">
        <f t="shared" si="196"/>
        <v>6.5981336117813694E-5</v>
      </c>
      <c r="AY152" s="32">
        <f t="shared" si="197"/>
        <v>1.5707963267948966</v>
      </c>
      <c r="AZ152" s="32" t="str">
        <f t="shared" si="172"/>
        <v>1+0.026919468728622i</v>
      </c>
      <c r="BA152" s="32">
        <f t="shared" si="198"/>
        <v>1.0003622632809732</v>
      </c>
      <c r="BB152" s="32">
        <f t="shared" si="199"/>
        <v>2.6912969086765944E-2</v>
      </c>
      <c r="BC152" s="32" t="str">
        <f t="shared" si="173"/>
        <v>1+1.29213449897386i</v>
      </c>
      <c r="BD152" s="32">
        <f t="shared" si="200"/>
        <v>1.633894599855948</v>
      </c>
      <c r="BE152" s="32">
        <f t="shared" si="201"/>
        <v>0.91216557395381459</v>
      </c>
      <c r="BF152" s="59" t="str">
        <f t="shared" si="202"/>
        <v>-0.638715390653079+0.52238724569443i</v>
      </c>
      <c r="BG152" s="50">
        <f t="shared" si="203"/>
        <v>-1.6695124701388628</v>
      </c>
      <c r="BH152" s="61">
        <f t="shared" si="204"/>
        <v>140.72123806184425</v>
      </c>
      <c r="BI152" s="59" t="str">
        <f t="shared" si="205"/>
        <v>-0.554059584814169+10.4148669209239i</v>
      </c>
      <c r="BJ152" s="64">
        <f t="shared" si="206"/>
        <v>20.365348213165575</v>
      </c>
      <c r="BK152" s="61">
        <f t="shared" si="207"/>
        <v>93.045202508029291</v>
      </c>
      <c r="BL152" s="59" t="str">
        <f t="shared" si="158"/>
        <v>-5.29654842716452+61.7615894957506i</v>
      </c>
      <c r="BM152" s="64">
        <f t="shared" si="208"/>
        <v>35.846192292105215</v>
      </c>
      <c r="BN152" s="61">
        <f t="shared" si="159"/>
        <v>94.901577011920921</v>
      </c>
      <c r="BO152" s="50">
        <f t="shared" si="209"/>
        <v>20.365348213165575</v>
      </c>
      <c r="BP152" s="61">
        <f t="shared" si="210"/>
        <v>93.045202508029291</v>
      </c>
    </row>
    <row r="153" spans="14:68" x14ac:dyDescent="0.25">
      <c r="N153" s="11">
        <v>35</v>
      </c>
      <c r="O153" s="51">
        <f t="shared" si="160"/>
        <v>223.87211385683412</v>
      </c>
      <c r="P153" s="49" t="str">
        <f t="shared" si="161"/>
        <v>37.1583961085025</v>
      </c>
      <c r="Q153" s="18" t="str">
        <f t="shared" si="162"/>
        <v>1+1.10253052639389i</v>
      </c>
      <c r="R153" s="18">
        <f t="shared" si="174"/>
        <v>1.4884802859394506</v>
      </c>
      <c r="S153" s="18">
        <f t="shared" si="175"/>
        <v>0.83412486034293187</v>
      </c>
      <c r="T153" s="18" t="str">
        <f t="shared" si="163"/>
        <v>1+0.00126596697882525i</v>
      </c>
      <c r="U153" s="18">
        <f t="shared" si="176"/>
        <v>1.0000008013358748</v>
      </c>
      <c r="V153" s="18">
        <f t="shared" si="177"/>
        <v>1.2659663025157918E-3</v>
      </c>
      <c r="W153" s="32" t="str">
        <f t="shared" si="164"/>
        <v>1-0.011080874163618i</v>
      </c>
      <c r="X153" s="18">
        <f t="shared" si="178"/>
        <v>1.0000613910016873</v>
      </c>
      <c r="Y153" s="18">
        <f t="shared" si="179"/>
        <v>-1.1080420672463167E-2</v>
      </c>
      <c r="Z153" s="32" t="str">
        <f t="shared" si="165"/>
        <v>0.999998747031916+0.00266790818870951i</v>
      </c>
      <c r="AA153" s="18">
        <f t="shared" si="180"/>
        <v>1.0000023058970942</v>
      </c>
      <c r="AB153" s="18">
        <f t="shared" si="181"/>
        <v>2.667905201700382E-3</v>
      </c>
      <c r="AC153" s="32" t="str">
        <f>IMDIV(IMSUM(COMPLEX(0,2*PI()*O153*Constants!$B$61*Constants!$B$62),COMPLEX(1,0)),IMSUM(COMPLEX(0,2*PI()*O153*Constants!$B$61*Constants!$B$62),COMPLEX(2,0)))</f>
        <v>0.500003957184463+0.00140661884388392i</v>
      </c>
      <c r="AD153" s="18">
        <f t="shared" si="182"/>
        <v>0.50000593574146124</v>
      </c>
      <c r="AE153" s="18">
        <f t="shared" si="183"/>
        <v>2.8132080015463236E-3</v>
      </c>
      <c r="AF153" s="66" t="str">
        <f t="shared" si="184"/>
        <v>8.29653671279215-9.32684016287606i</v>
      </c>
      <c r="AG153" s="64">
        <f t="shared" si="185"/>
        <v>21.926300810274157</v>
      </c>
      <c r="AH153" s="61">
        <f t="shared" si="186"/>
        <v>-48.345835661028353</v>
      </c>
      <c r="AI153" s="50" t="str">
        <f t="shared" si="166"/>
        <v>107.538871525172</v>
      </c>
      <c r="AJ153" s="50" t="str">
        <f t="shared" si="167"/>
        <v>1+1.04812201168974i</v>
      </c>
      <c r="AK153" s="50">
        <f t="shared" si="187"/>
        <v>1.4486406564046679</v>
      </c>
      <c r="AL153" s="50">
        <f t="shared" si="188"/>
        <v>0.80888951749948923</v>
      </c>
      <c r="AM153" s="50" t="str">
        <f t="shared" si="168"/>
        <v>1+0.00126596697882525i</v>
      </c>
      <c r="AN153" s="50">
        <f t="shared" si="189"/>
        <v>1.0000008013358748</v>
      </c>
      <c r="AO153" s="50">
        <f t="shared" si="190"/>
        <v>1.2659663025157918E-3</v>
      </c>
      <c r="AP153" s="50" t="str">
        <f t="shared" si="169"/>
        <v>1-0.00363987448951952i</v>
      </c>
      <c r="AQ153" s="50">
        <f t="shared" si="191"/>
        <v>1.0000066243212089</v>
      </c>
      <c r="AR153" s="50">
        <f t="shared" si="192"/>
        <v>-3.6398584151288715E-3</v>
      </c>
      <c r="AS153" s="59" t="str">
        <f t="shared" si="193"/>
        <v>51.1168646564363-53.8319983497814i</v>
      </c>
      <c r="AT153" s="50">
        <f t="shared" si="194"/>
        <v>37.412160602861327</v>
      </c>
      <c r="AU153" s="61">
        <f t="shared" si="195"/>
        <v>-46.481969444166417</v>
      </c>
      <c r="AV153" s="32" t="str">
        <f t="shared" si="170"/>
        <v>-0.0000333333333333333</v>
      </c>
      <c r="AW153" s="32" t="str">
        <f t="shared" si="171"/>
        <v>0.0000675182388706798i</v>
      </c>
      <c r="AX153" s="32">
        <f t="shared" si="196"/>
        <v>6.7518238870679801E-5</v>
      </c>
      <c r="AY153" s="32">
        <f t="shared" si="197"/>
        <v>1.5707963267948966</v>
      </c>
      <c r="AZ153" s="32" t="str">
        <f t="shared" si="172"/>
        <v>1+0.0275465037059198i</v>
      </c>
      <c r="BA153" s="32">
        <f t="shared" si="198"/>
        <v>1.0003793329864528</v>
      </c>
      <c r="BB153" s="32">
        <f t="shared" si="199"/>
        <v>2.7539539356815874E-2</v>
      </c>
      <c r="BC153" s="32" t="str">
        <f t="shared" si="173"/>
        <v>1+1.32223217788415i</v>
      </c>
      <c r="BD153" s="32">
        <f t="shared" si="200"/>
        <v>1.6577991230038283</v>
      </c>
      <c r="BE153" s="32">
        <f t="shared" si="201"/>
        <v>0.92327741445869116</v>
      </c>
      <c r="BF153" s="59" t="str">
        <f t="shared" si="202"/>
        <v>-0.638693593740193+0.511287537175173i</v>
      </c>
      <c r="BG153" s="50">
        <f t="shared" si="203"/>
        <v>-1.7435033176984895</v>
      </c>
      <c r="BH153" s="61">
        <f t="shared" si="204"/>
        <v>141.32199979335397</v>
      </c>
      <c r="BI153" s="59" t="str">
        <f t="shared" si="205"/>
        <v>-0.530247712187276+10.1989088848346i</v>
      </c>
      <c r="BJ153" s="64">
        <f t="shared" si="206"/>
        <v>20.182797492575688</v>
      </c>
      <c r="BK153" s="61">
        <f t="shared" si="207"/>
        <v>92.976164132325621</v>
      </c>
      <c r="BL153" s="59" t="str">
        <f t="shared" si="158"/>
        <v>-5.12438413067265+60.517568322544i</v>
      </c>
      <c r="BM153" s="64">
        <f t="shared" si="208"/>
        <v>35.668657285162844</v>
      </c>
      <c r="BN153" s="61">
        <f t="shared" si="159"/>
        <v>94.840030349187572</v>
      </c>
      <c r="BO153" s="50">
        <f t="shared" si="209"/>
        <v>20.182797492575688</v>
      </c>
      <c r="BP153" s="61">
        <f t="shared" si="210"/>
        <v>92.976164132325621</v>
      </c>
    </row>
    <row r="154" spans="14:68" x14ac:dyDescent="0.25">
      <c r="N154" s="11">
        <v>36</v>
      </c>
      <c r="O154" s="51">
        <f t="shared" si="160"/>
        <v>229.08676527677744</v>
      </c>
      <c r="P154" s="49" t="str">
        <f t="shared" si="161"/>
        <v>37.1583961085025</v>
      </c>
      <c r="Q154" s="18" t="str">
        <f t="shared" si="162"/>
        <v>1+1.12821176143448i</v>
      </c>
      <c r="R154" s="18">
        <f t="shared" si="174"/>
        <v>1.5076013327929543</v>
      </c>
      <c r="S154" s="18">
        <f t="shared" si="175"/>
        <v>0.84556933301026083</v>
      </c>
      <c r="T154" s="18" t="str">
        <f t="shared" si="163"/>
        <v>1+0.00129545513789072i</v>
      </c>
      <c r="U154" s="18">
        <f t="shared" si="176"/>
        <v>1.000000839101655</v>
      </c>
      <c r="V154" s="18">
        <f t="shared" si="177"/>
        <v>1.295454413212112E-3</v>
      </c>
      <c r="W154" s="32" t="str">
        <f t="shared" si="164"/>
        <v>1-0.0113389808799751i</v>
      </c>
      <c r="X154" s="18">
        <f t="shared" si="178"/>
        <v>1.0000642841774705</v>
      </c>
      <c r="Y154" s="18">
        <f t="shared" si="179"/>
        <v>-1.1338494957134907E-2</v>
      </c>
      <c r="Z154" s="32" t="str">
        <f t="shared" si="165"/>
        <v>0.999998687981349+0.00273005175355487i</v>
      </c>
      <c r="AA154" s="18">
        <f t="shared" si="180"/>
        <v>1.0000024145705833</v>
      </c>
      <c r="AB154" s="18">
        <f t="shared" si="181"/>
        <v>2.730048552917301E-3</v>
      </c>
      <c r="AC154" s="32" t="str">
        <f>IMDIV(IMSUM(COMPLEX(0,2*PI()*O154*Constants!$B$61*Constants!$B$62),COMPLEX(1,0)),IMSUM(COMPLEX(0,2*PI()*O154*Constants!$B$61*Constants!$B$62),COMPLEX(2,0)))</f>
        <v>0.500004143679275+0.00143938266887722i</v>
      </c>
      <c r="AD154" s="18">
        <f t="shared" si="182"/>
        <v>0.50000621548028035</v>
      </c>
      <c r="AE154" s="18">
        <f t="shared" si="183"/>
        <v>2.8787335284412604E-3</v>
      </c>
      <c r="AF154" s="66" t="str">
        <f t="shared" si="184"/>
        <v>8.08332223359356-9.30353922048216i</v>
      </c>
      <c r="AG154" s="64">
        <f t="shared" si="185"/>
        <v>21.815461668635994</v>
      </c>
      <c r="AH154" s="61">
        <f t="shared" si="186"/>
        <v>-49.014458882250977</v>
      </c>
      <c r="AI154" s="50" t="str">
        <f t="shared" si="166"/>
        <v>107.538871525172</v>
      </c>
      <c r="AJ154" s="50" t="str">
        <f t="shared" si="167"/>
        <v>1+1.07253590961732i</v>
      </c>
      <c r="AK154" s="50">
        <f t="shared" si="187"/>
        <v>1.4664014721141858</v>
      </c>
      <c r="AL154" s="50">
        <f t="shared" si="188"/>
        <v>0.82038251012147478</v>
      </c>
      <c r="AM154" s="50" t="str">
        <f t="shared" si="168"/>
        <v>1+0.00129545513789072i</v>
      </c>
      <c r="AN154" s="50">
        <f t="shared" si="189"/>
        <v>1.000000839101655</v>
      </c>
      <c r="AO154" s="50">
        <f t="shared" si="190"/>
        <v>1.295454413212112E-3</v>
      </c>
      <c r="AP154" s="50" t="str">
        <f t="shared" si="169"/>
        <v>1-0.00372465805790681i</v>
      </c>
      <c r="AQ154" s="50">
        <f t="shared" si="191"/>
        <v>1.0000069365147666</v>
      </c>
      <c r="AR154" s="50">
        <f t="shared" si="192"/>
        <v>-3.7246408338933628E-3</v>
      </c>
      <c r="AS154" s="59" t="str">
        <f t="shared" si="193"/>
        <v>49.880271571185-53.759616182284i</v>
      </c>
      <c r="AT154" s="50">
        <f t="shared" si="194"/>
        <v>37.306319275769766</v>
      </c>
      <c r="AU154" s="61">
        <f t="shared" si="195"/>
        <v>-47.14363754586455</v>
      </c>
      <c r="AV154" s="32" t="str">
        <f t="shared" si="170"/>
        <v>-0.0000333333333333333</v>
      </c>
      <c r="AW154" s="32" t="str">
        <f t="shared" si="171"/>
        <v>0.0000690909406875046i</v>
      </c>
      <c r="AX154" s="32">
        <f t="shared" si="196"/>
        <v>6.9090940687504594E-5</v>
      </c>
      <c r="AY154" s="32">
        <f t="shared" si="197"/>
        <v>1.5707963267948966</v>
      </c>
      <c r="AZ154" s="32" t="str">
        <f t="shared" si="172"/>
        <v>1+0.0281881442041035i</v>
      </c>
      <c r="BA154" s="32">
        <f t="shared" si="198"/>
        <v>1.0003972068501947</v>
      </c>
      <c r="BB154" s="32">
        <f t="shared" si="199"/>
        <v>2.8180681929606734E-2</v>
      </c>
      <c r="BC154" s="32" t="str">
        <f t="shared" si="173"/>
        <v>1+1.35303092179697i</v>
      </c>
      <c r="BD154" s="32">
        <f t="shared" si="200"/>
        <v>1.682466247904771</v>
      </c>
      <c r="BE154" s="32">
        <f t="shared" si="201"/>
        <v>0.93431981673646658</v>
      </c>
      <c r="BF154" s="59" t="str">
        <f t="shared" si="202"/>
        <v>-0.638670771164906+0.50045886351109i</v>
      </c>
      <c r="BG154" s="50">
        <f t="shared" si="203"/>
        <v>-1.8153694075981637</v>
      </c>
      <c r="BH154" s="61">
        <f t="shared" si="204"/>
        <v>141.91794807606897</v>
      </c>
      <c r="BI154" s="59" t="str">
        <f t="shared" si="205"/>
        <v>-0.506542979590275+9.98726882692645i</v>
      </c>
      <c r="BJ154" s="64">
        <f t="shared" si="206"/>
        <v>20.000092261037832</v>
      </c>
      <c r="BK154" s="61">
        <f t="shared" si="207"/>
        <v>92.903489193818004</v>
      </c>
      <c r="BL154" s="59" t="str">
        <f t="shared" si="158"/>
        <v>-4.9525950929054+59.2977195468085i</v>
      </c>
      <c r="BM154" s="64">
        <f t="shared" si="208"/>
        <v>35.490949868171604</v>
      </c>
      <c r="BN154" s="61">
        <f t="shared" si="159"/>
        <v>94.774310530204403</v>
      </c>
      <c r="BO154" s="50">
        <f t="shared" si="209"/>
        <v>20.000092261037832</v>
      </c>
      <c r="BP154" s="61">
        <f t="shared" si="210"/>
        <v>92.903489193818004</v>
      </c>
    </row>
    <row r="155" spans="14:68" x14ac:dyDescent="0.25">
      <c r="N155" s="11">
        <v>37</v>
      </c>
      <c r="O155" s="51">
        <f t="shared" si="160"/>
        <v>234.42288153199232</v>
      </c>
      <c r="P155" s="49" t="str">
        <f t="shared" si="161"/>
        <v>37.1583961085025</v>
      </c>
      <c r="Q155" s="18" t="str">
        <f t="shared" si="162"/>
        <v>1+1.15449118928462i</v>
      </c>
      <c r="R155" s="18">
        <f t="shared" si="174"/>
        <v>1.5273669847603148</v>
      </c>
      <c r="S155" s="18">
        <f t="shared" si="175"/>
        <v>0.85698221751366876</v>
      </c>
      <c r="T155" s="18" t="str">
        <f t="shared" si="163"/>
        <v>1+0.00132563016441766i</v>
      </c>
      <c r="U155" s="18">
        <f t="shared" si="176"/>
        <v>1.0000008786472805</v>
      </c>
      <c r="V155" s="18">
        <f t="shared" si="177"/>
        <v>1.3256293879105785E-3</v>
      </c>
      <c r="W155" s="32" t="str">
        <f t="shared" si="164"/>
        <v>1-0.0116030996740839i</v>
      </c>
      <c r="X155" s="18">
        <f t="shared" si="178"/>
        <v>1.0000673136954565</v>
      </c>
      <c r="Y155" s="18">
        <f t="shared" si="179"/>
        <v>-1.1602579000272568E-2</v>
      </c>
      <c r="Z155" s="32" t="str">
        <f t="shared" si="165"/>
        <v>0.999998626147815+0.00279364282797647i</v>
      </c>
      <c r="AA155" s="18">
        <f t="shared" si="180"/>
        <v>1.0000025283656875</v>
      </c>
      <c r="AB155" s="18">
        <f t="shared" si="181"/>
        <v>2.7936393984319468E-3</v>
      </c>
      <c r="AC155" s="32" t="str">
        <f>IMDIV(IMSUM(COMPLEX(0,2*PI()*O155*Constants!$B$61*Constants!$B$62),COMPLEX(1,0)),IMSUM(COMPLEX(0,2*PI()*O155*Constants!$B$61*Constants!$B$62),COMPLEX(2,0)))</f>
        <v>0.500004338963168+0.00147290962299639i</v>
      </c>
      <c r="AD155" s="18">
        <f t="shared" si="182"/>
        <v>0.5000065084023928</v>
      </c>
      <c r="AE155" s="18">
        <f t="shared" si="183"/>
        <v>2.9457851617515404E-3</v>
      </c>
      <c r="AF155" s="66" t="str">
        <f t="shared" si="184"/>
        <v>7.87128307000139-9.27544927533388i</v>
      </c>
      <c r="AG155" s="64">
        <f t="shared" si="185"/>
        <v>21.702354703841493</v>
      </c>
      <c r="AH155" s="61">
        <f t="shared" si="186"/>
        <v>-49.681572710243366</v>
      </c>
      <c r="AI155" s="50" t="str">
        <f t="shared" si="166"/>
        <v>107.538871525172</v>
      </c>
      <c r="AJ155" s="50" t="str">
        <f t="shared" si="167"/>
        <v>1+1.09751848028086i</v>
      </c>
      <c r="AK155" s="50">
        <f t="shared" si="187"/>
        <v>1.484771637174555</v>
      </c>
      <c r="AL155" s="50">
        <f t="shared" si="188"/>
        <v>0.83185701893648034</v>
      </c>
      <c r="AM155" s="50" t="str">
        <f t="shared" si="168"/>
        <v>1+0.00132563016441766i</v>
      </c>
      <c r="AN155" s="50">
        <f t="shared" si="189"/>
        <v>1.0000008786472805</v>
      </c>
      <c r="AO155" s="50">
        <f t="shared" si="190"/>
        <v>1.3256293879105785E-3</v>
      </c>
      <c r="AP155" s="50" t="str">
        <f t="shared" si="169"/>
        <v>1-0.00381141648929806i</v>
      </c>
      <c r="AQ155" s="50">
        <f t="shared" si="191"/>
        <v>1.0000072634214487</v>
      </c>
      <c r="AR155" s="50">
        <f t="shared" si="192"/>
        <v>-3.8113980334423779E-3</v>
      </c>
      <c r="AS155" s="59" t="str">
        <f t="shared" si="193"/>
        <v>48.6476526580671-53.6590164707433i</v>
      </c>
      <c r="AT155" s="50">
        <f t="shared" si="194"/>
        <v>37.198186960510306</v>
      </c>
      <c r="AU155" s="61">
        <f t="shared" si="195"/>
        <v>-47.804320395629453</v>
      </c>
      <c r="AV155" s="32" t="str">
        <f t="shared" si="170"/>
        <v>-0.0000333333333333333</v>
      </c>
      <c r="AW155" s="32" t="str">
        <f t="shared" si="171"/>
        <v>0.0000707002754356087i</v>
      </c>
      <c r="AX155" s="32">
        <f t="shared" si="196"/>
        <v>7.0700275435608699E-5</v>
      </c>
      <c r="AY155" s="32">
        <f t="shared" si="197"/>
        <v>1.5707963267948966</v>
      </c>
      <c r="AZ155" s="32" t="str">
        <f t="shared" si="172"/>
        <v>1+0.0288447304294583i</v>
      </c>
      <c r="BA155" s="32">
        <f t="shared" si="198"/>
        <v>1.0004159227409108</v>
      </c>
      <c r="BB155" s="32">
        <f t="shared" si="199"/>
        <v>2.8836734637806123E-2</v>
      </c>
      <c r="BC155" s="32" t="str">
        <f t="shared" si="173"/>
        <v>1+1.384547060614i</v>
      </c>
      <c r="BD155" s="32">
        <f t="shared" si="200"/>
        <v>1.7079140970947184</v>
      </c>
      <c r="BE155" s="32">
        <f t="shared" si="201"/>
        <v>0.9452878643838597</v>
      </c>
      <c r="BF155" s="59" t="str">
        <f t="shared" si="202"/>
        <v>-0.638646874742879+0.4898954791571i</v>
      </c>
      <c r="BG155" s="50">
        <f t="shared" si="203"/>
        <v>-1.885138652898001</v>
      </c>
      <c r="BH155" s="61">
        <f t="shared" si="204"/>
        <v>142.50878186444501</v>
      </c>
      <c r="BI155" s="59" t="str">
        <f t="shared" si="205"/>
        <v>-0.482969665735854+9.77984268268758i</v>
      </c>
      <c r="BJ155" s="64">
        <f t="shared" si="206"/>
        <v>19.817216050943486</v>
      </c>
      <c r="BK155" s="61">
        <f t="shared" si="207"/>
        <v>92.827209154201654</v>
      </c>
      <c r="BL155" s="59" t="str">
        <f t="shared" si="158"/>
        <v>-4.78136174861815+58.1014282796088i</v>
      </c>
      <c r="BM155" s="64">
        <f t="shared" si="208"/>
        <v>35.313048307612299</v>
      </c>
      <c r="BN155" s="61">
        <f t="shared" si="159"/>
        <v>94.704461468815566</v>
      </c>
      <c r="BO155" s="50">
        <f t="shared" si="209"/>
        <v>19.817216050943486</v>
      </c>
      <c r="BP155" s="61">
        <f t="shared" si="210"/>
        <v>92.827209154201654</v>
      </c>
    </row>
    <row r="156" spans="14:68" x14ac:dyDescent="0.25">
      <c r="N156" s="11">
        <v>38</v>
      </c>
      <c r="O156" s="51">
        <f t="shared" si="160"/>
        <v>239.88329190194912</v>
      </c>
      <c r="P156" s="49" t="str">
        <f t="shared" si="161"/>
        <v>37.1583961085025</v>
      </c>
      <c r="Q156" s="18" t="str">
        <f t="shared" si="162"/>
        <v>1+1.18138274364483i</v>
      </c>
      <c r="R156" s="18">
        <f t="shared" si="174"/>
        <v>1.5477936512926347</v>
      </c>
      <c r="S156" s="18">
        <f t="shared" si="175"/>
        <v>0.86835767344523729</v>
      </c>
      <c r="T156" s="18" t="str">
        <f t="shared" si="163"/>
        <v>1+0.00135650805760458i</v>
      </c>
      <c r="U156" s="18">
        <f t="shared" si="176"/>
        <v>1.000000920056632</v>
      </c>
      <c r="V156" s="18">
        <f t="shared" si="177"/>
        <v>1.3565072255622927E-3</v>
      </c>
      <c r="W156" s="32" t="str">
        <f t="shared" si="164"/>
        <v>1-0.0118733705852252i</v>
      </c>
      <c r="X156" s="18">
        <f t="shared" si="178"/>
        <v>1.0000704859803904</v>
      </c>
      <c r="Y156" s="18">
        <f t="shared" si="179"/>
        <v>-1.1872812675308353E-2</v>
      </c>
      <c r="Z156" s="32" t="str">
        <f t="shared" si="165"/>
        <v>0.999998561400157+0.00285871512880372i</v>
      </c>
      <c r="AA156" s="18">
        <f t="shared" si="180"/>
        <v>1.0000026475237807</v>
      </c>
      <c r="AB156" s="18">
        <f t="shared" si="181"/>
        <v>2.8587114539810254E-3</v>
      </c>
      <c r="AC156" s="32" t="str">
        <f>IMDIV(IMSUM(COMPLEX(0,2*PI()*O156*Constants!$B$61*Constants!$B$62),COMPLEX(1,0)),IMSUM(COMPLEX(0,2*PI()*O156*Constants!$B$61*Constants!$B$62),COMPLEX(2,0)))</f>
        <v>0.500004543450344+0.00150721747905619i</v>
      </c>
      <c r="AD156" s="18">
        <f t="shared" si="182"/>
        <v>0.50000681512907008</v>
      </c>
      <c r="AE156" s="18">
        <f t="shared" si="183"/>
        <v>3.0143984362481393E-3</v>
      </c>
      <c r="AF156" s="66" t="str">
        <f t="shared" si="184"/>
        <v>7.66063232527995-9.24264323227678i</v>
      </c>
      <c r="AG156" s="64">
        <f t="shared" si="185"/>
        <v>21.586993665133711</v>
      </c>
      <c r="AH156" s="61">
        <f t="shared" si="186"/>
        <v>-50.346849507543176</v>
      </c>
      <c r="AI156" s="50" t="str">
        <f t="shared" si="166"/>
        <v>107.538871525172</v>
      </c>
      <c r="AJ156" s="50" t="str">
        <f t="shared" si="167"/>
        <v>1+1.12308296977003i</v>
      </c>
      <c r="AK156" s="50">
        <f t="shared" si="187"/>
        <v>1.5037670554269602</v>
      </c>
      <c r="AL156" s="50">
        <f t="shared" si="188"/>
        <v>0.84330704262521394</v>
      </c>
      <c r="AM156" s="50" t="str">
        <f t="shared" si="168"/>
        <v>1+0.00135650805760458i</v>
      </c>
      <c r="AN156" s="50">
        <f t="shared" si="189"/>
        <v>1.000000920056632</v>
      </c>
      <c r="AO156" s="50">
        <f t="shared" si="190"/>
        <v>1.3565072255622927E-3</v>
      </c>
      <c r="AP156" s="50" t="str">
        <f t="shared" si="169"/>
        <v>1-0.00390019578416203i</v>
      </c>
      <c r="AQ156" s="50">
        <f t="shared" si="191"/>
        <v>1.0000076057346539</v>
      </c>
      <c r="AR156" s="50">
        <f t="shared" si="192"/>
        <v>-3.9001760083644953E-3</v>
      </c>
      <c r="AS156" s="59" t="str">
        <f t="shared" si="193"/>
        <v>47.4202884031975-53.5304636348407i</v>
      </c>
      <c r="AT156" s="50">
        <f t="shared" si="194"/>
        <v>37.087772229328159</v>
      </c>
      <c r="AU156" s="61">
        <f t="shared" si="195"/>
        <v>-48.463675861817478</v>
      </c>
      <c r="AV156" s="32" t="str">
        <f t="shared" si="170"/>
        <v>-0.0000333333333333333</v>
      </c>
      <c r="AW156" s="32" t="str">
        <f t="shared" si="171"/>
        <v>0.0000723470964055775i</v>
      </c>
      <c r="AX156" s="32">
        <f t="shared" si="196"/>
        <v>7.2347096405577495E-5</v>
      </c>
      <c r="AY156" s="32">
        <f t="shared" si="197"/>
        <v>1.5707963267948966</v>
      </c>
      <c r="AZ156" s="32" t="str">
        <f t="shared" si="172"/>
        <v>1+0.0295166105126923i</v>
      </c>
      <c r="BA156" s="32">
        <f t="shared" si="198"/>
        <v>1.0004355203091091</v>
      </c>
      <c r="BB156" s="32">
        <f t="shared" si="199"/>
        <v>2.9508043069003627E-2</v>
      </c>
      <c r="BC156" s="32" t="str">
        <f t="shared" si="173"/>
        <v>1+1.41679730460923i</v>
      </c>
      <c r="BD156" s="32">
        <f t="shared" si="200"/>
        <v>1.7341610658609479</v>
      </c>
      <c r="BE156" s="32">
        <f t="shared" si="201"/>
        <v>0.95617681761167383</v>
      </c>
      <c r="BF156" s="59" t="str">
        <f t="shared" si="202"/>
        <v>-0.638621854033719+0.479591778939953i</v>
      </c>
      <c r="BG156" s="50">
        <f t="shared" si="203"/>
        <v>-1.9528406363065529</v>
      </c>
      <c r="BH156" s="61">
        <f t="shared" si="204"/>
        <v>143.09420978785502</v>
      </c>
      <c r="BI156" s="59" t="str">
        <f t="shared" si="205"/>
        <v>-0.459551508765983+9.57653024185472i</v>
      </c>
      <c r="BJ156" s="64">
        <f t="shared" si="206"/>
        <v>19.634153028827157</v>
      </c>
      <c r="BK156" s="61">
        <f t="shared" si="207"/>
        <v>92.747360280311838</v>
      </c>
      <c r="BL156" s="59" t="str">
        <f t="shared" si="158"/>
        <v>-4.61086221674994+56.9281044069017i</v>
      </c>
      <c r="BM156" s="64">
        <f t="shared" si="208"/>
        <v>35.134931593021612</v>
      </c>
      <c r="BN156" s="61">
        <f t="shared" si="159"/>
        <v>94.630533926037543</v>
      </c>
      <c r="BO156" s="50">
        <f t="shared" si="209"/>
        <v>19.634153028827157</v>
      </c>
      <c r="BP156" s="61">
        <f t="shared" si="210"/>
        <v>92.747360280311838</v>
      </c>
    </row>
    <row r="157" spans="14:68" x14ac:dyDescent="0.25">
      <c r="N157" s="11">
        <v>39</v>
      </c>
      <c r="O157" s="51">
        <f t="shared" si="160"/>
        <v>245.4708915685033</v>
      </c>
      <c r="P157" s="49" t="str">
        <f t="shared" si="161"/>
        <v>37.1583961085025</v>
      </c>
      <c r="Q157" s="18" t="str">
        <f t="shared" si="162"/>
        <v>1+1.20890068277317i</v>
      </c>
      <c r="R157" s="18">
        <f t="shared" si="174"/>
        <v>1.568897976545778</v>
      </c>
      <c r="S157" s="18">
        <f t="shared" si="175"/>
        <v>0.87968995711469833</v>
      </c>
      <c r="T157" s="18" t="str">
        <f t="shared" si="163"/>
        <v>1+0.00138810518931914i</v>
      </c>
      <c r="U157" s="18">
        <f t="shared" si="176"/>
        <v>1.0000009634175442</v>
      </c>
      <c r="V157" s="18">
        <f t="shared" si="177"/>
        <v>1.3881042977698127E-3</v>
      </c>
      <c r="W157" s="32" t="str">
        <f t="shared" si="164"/>
        <v>1-0.0121499369146134i</v>
      </c>
      <c r="X157" s="18">
        <f t="shared" si="178"/>
        <v>1.0000738077597218</v>
      </c>
      <c r="Y157" s="18">
        <f t="shared" si="179"/>
        <v>-1.2149339105749755E-2</v>
      </c>
      <c r="Z157" s="32" t="str">
        <f t="shared" si="165"/>
        <v>0.999998493601035+0.00292530315823182i</v>
      </c>
      <c r="AA157" s="18">
        <f t="shared" si="180"/>
        <v>1.0000027722976106</v>
      </c>
      <c r="AB157" s="18">
        <f t="shared" si="181"/>
        <v>2.9252992205888902E-3</v>
      </c>
      <c r="AC157" s="32" t="str">
        <f>IMDIV(IMSUM(COMPLEX(0,2*PI()*O157*Constants!$B$61*Constants!$B$62),COMPLEX(1,0)),IMSUM(COMPLEX(0,2*PI()*O157*Constants!$B$61*Constants!$B$62),COMPLEX(2,0)))</f>
        <v>0.500004757574525+0.00154232442365708i</v>
      </c>
      <c r="AD157" s="18">
        <f t="shared" si="182"/>
        <v>0.50000713631086036</v>
      </c>
      <c r="AE157" s="18">
        <f t="shared" si="183"/>
        <v>3.0846097134969185E-3</v>
      </c>
      <c r="AF157" s="66" t="str">
        <f t="shared" si="184"/>
        <v>7.45157739974102-9.20520556109081i</v>
      </c>
      <c r="AG157" s="64">
        <f t="shared" si="185"/>
        <v>21.469394549220475</v>
      </c>
      <c r="AH157" s="61">
        <f t="shared" si="186"/>
        <v>-51.009967340687226</v>
      </c>
      <c r="AI157" s="50" t="str">
        <f t="shared" si="166"/>
        <v>107.538871525172</v>
      </c>
      <c r="AJ157" s="50" t="str">
        <f t="shared" si="167"/>
        <v>1+1.14924293271553i</v>
      </c>
      <c r="AK157" s="50">
        <f t="shared" si="187"/>
        <v>1.5234038592561701</v>
      </c>
      <c r="AL157" s="50">
        <f t="shared" si="188"/>
        <v>0.8547266440525213</v>
      </c>
      <c r="AM157" s="50" t="str">
        <f t="shared" si="168"/>
        <v>1+0.00138810518931914i</v>
      </c>
      <c r="AN157" s="50">
        <f t="shared" si="189"/>
        <v>1.0000009634175442</v>
      </c>
      <c r="AO157" s="50">
        <f t="shared" si="190"/>
        <v>1.3881042977698127E-3</v>
      </c>
      <c r="AP157" s="50" t="str">
        <f t="shared" si="169"/>
        <v>1-0.00399104301445594i</v>
      </c>
      <c r="AQ157" s="50">
        <f t="shared" si="191"/>
        <v>1.0000079641804576</v>
      </c>
      <c r="AR157" s="50">
        <f t="shared" si="192"/>
        <v>-3.9910218243162194E-3</v>
      </c>
      <c r="AS157" s="59" t="str">
        <f t="shared" si="193"/>
        <v>46.1994373175391-53.3742938289813i</v>
      </c>
      <c r="AT157" s="50">
        <f t="shared" si="194"/>
        <v>36.975086011265027</v>
      </c>
      <c r="AU157" s="61">
        <f t="shared" si="195"/>
        <v>-49.121365530281786</v>
      </c>
      <c r="AV157" s="32" t="str">
        <f t="shared" si="170"/>
        <v>-0.0000333333333333333</v>
      </c>
      <c r="AW157" s="32" t="str">
        <f t="shared" si="171"/>
        <v>0.0000740322767636877i</v>
      </c>
      <c r="AX157" s="32">
        <f t="shared" si="196"/>
        <v>7.4032276763687704E-5</v>
      </c>
      <c r="AY157" s="32">
        <f t="shared" si="197"/>
        <v>1.5707963267948966</v>
      </c>
      <c r="AZ157" s="32" t="str">
        <f t="shared" si="172"/>
        <v>1+0.0302041406935184i</v>
      </c>
      <c r="BA157" s="32">
        <f t="shared" si="198"/>
        <v>1.0004560410707877</v>
      </c>
      <c r="BB157" s="32">
        <f t="shared" si="199"/>
        <v>3.0194960738201642E-2</v>
      </c>
      <c r="BC157" s="32" t="str">
        <f t="shared" si="173"/>
        <v>1+1.44979875328888i</v>
      </c>
      <c r="BD157" s="32">
        <f t="shared" si="200"/>
        <v>1.7612258302210966</v>
      </c>
      <c r="BE157" s="32">
        <f t="shared" si="201"/>
        <v>0.96698212131333028</v>
      </c>
      <c r="BF157" s="59" t="str">
        <f t="shared" si="202"/>
        <v>-0.638595656236049+0.469542295065793i</v>
      </c>
      <c r="BG157" s="50">
        <f t="shared" si="203"/>
        <v>-2.0185065041848462</v>
      </c>
      <c r="BH157" s="61">
        <f t="shared" si="204"/>
        <v>143.6739506029989</v>
      </c>
      <c r="BI157" s="59" t="str">
        <f t="shared" si="205"/>
        <v>-0.436311613874348+9.37723504020731i</v>
      </c>
      <c r="BJ157" s="64">
        <f t="shared" si="206"/>
        <v>19.450888045035633</v>
      </c>
      <c r="BK157" s="61">
        <f t="shared" si="207"/>
        <v>92.66398326231166</v>
      </c>
      <c r="BL157" s="59" t="str">
        <f t="shared" si="158"/>
        <v>-4.44127156955422+55.7771820226796i</v>
      </c>
      <c r="BM157" s="64">
        <f t="shared" si="208"/>
        <v>34.956579507080185</v>
      </c>
      <c r="BN157" s="61">
        <f t="shared" si="159"/>
        <v>94.552585072717108</v>
      </c>
      <c r="BO157" s="50">
        <f t="shared" si="209"/>
        <v>19.450888045035633</v>
      </c>
      <c r="BP157" s="61">
        <f t="shared" si="210"/>
        <v>92.66398326231166</v>
      </c>
    </row>
    <row r="158" spans="14:68" x14ac:dyDescent="0.25">
      <c r="N158" s="11">
        <v>40</v>
      </c>
      <c r="O158" s="51">
        <f t="shared" si="160"/>
        <v>251.18864315095806</v>
      </c>
      <c r="P158" s="49" t="str">
        <f t="shared" si="161"/>
        <v>37.1583961085025</v>
      </c>
      <c r="Q158" s="18" t="str">
        <f t="shared" si="162"/>
        <v>1+1.23705959704521i</v>
      </c>
      <c r="R158" s="18">
        <f t="shared" si="174"/>
        <v>1.5906968430979103</v>
      </c>
      <c r="S158" s="18">
        <f t="shared" si="175"/>
        <v>0.89097343544315544</v>
      </c>
      <c r="T158" s="18" t="str">
        <f t="shared" si="163"/>
        <v>1+0.00142043831277883i</v>
      </c>
      <c r="U158" s="18">
        <f t="shared" si="176"/>
        <v>1.0000010088219913</v>
      </c>
      <c r="V158" s="18">
        <f t="shared" si="177"/>
        <v>1.4204373574665664E-3</v>
      </c>
      <c r="W158" s="32" t="str">
        <f t="shared" si="164"/>
        <v>1-0.0124329453013772i</v>
      </c>
      <c r="X158" s="18">
        <f t="shared" si="178"/>
        <v>1.0000772860778646</v>
      </c>
      <c r="Y158" s="18">
        <f t="shared" si="179"/>
        <v>-1.2432304740312525E-2</v>
      </c>
      <c r="Z158" s="32" t="str">
        <f t="shared" si="165"/>
        <v>0.999998422606639+0.00299344222211539i</v>
      </c>
      <c r="AA158" s="18">
        <f t="shared" si="180"/>
        <v>1.000002902951838</v>
      </c>
      <c r="AB158" s="18">
        <f t="shared" si="181"/>
        <v>2.993438002855568E-3</v>
      </c>
      <c r="AC158" s="32" t="str">
        <f>IMDIV(IMSUM(COMPLEX(0,2*PI()*O158*Constants!$B$61*Constants!$B$62),COMPLEX(1,0)),IMSUM(COMPLEX(0,2*PI()*O158*Constants!$B$61*Constants!$B$62),COMPLEX(2,0)))</f>
        <v>0.50000498178987+0.00157824906680937i</v>
      </c>
      <c r="AD158" s="18">
        <f t="shared" si="182"/>
        <v>0.50000747262896494</v>
      </c>
      <c r="AE158" s="18">
        <f t="shared" si="183"/>
        <v>3.1564562010514166E-3</v>
      </c>
      <c r="AF158" s="66" t="str">
        <f t="shared" si="184"/>
        <v>7.24431920891451-9.16323177369503i</v>
      </c>
      <c r="AG158" s="64">
        <f t="shared" si="185"/>
        <v>21.349575535342403</v>
      </c>
      <c r="AH158" s="61">
        <f t="shared" si="186"/>
        <v>-51.670610780018926</v>
      </c>
      <c r="AI158" s="50" t="str">
        <f t="shared" si="166"/>
        <v>107.538871525172</v>
      </c>
      <c r="AJ158" s="50" t="str">
        <f t="shared" si="167"/>
        <v>1+1.17601223947598i</v>
      </c>
      <c r="AK158" s="50">
        <f t="shared" si="187"/>
        <v>1.5436984120602408</v>
      </c>
      <c r="AL158" s="50">
        <f t="shared" si="188"/>
        <v>0.86610996537252194</v>
      </c>
      <c r="AM158" s="50" t="str">
        <f t="shared" si="168"/>
        <v>1+0.00142043831277883i</v>
      </c>
      <c r="AN158" s="50">
        <f t="shared" si="189"/>
        <v>1.0000010088219913</v>
      </c>
      <c r="AO158" s="50">
        <f t="shared" si="190"/>
        <v>1.4204373574665664E-3</v>
      </c>
      <c r="AP158" s="50" t="str">
        <f t="shared" si="169"/>
        <v>1-0.00408400634858383i</v>
      </c>
      <c r="AQ158" s="50">
        <f t="shared" si="191"/>
        <v>1.0000083395191539</v>
      </c>
      <c r="AR158" s="50">
        <f t="shared" si="192"/>
        <v>-4.0839836429502653E-3</v>
      </c>
      <c r="AS158" s="59" t="str">
        <f t="shared" si="193"/>
        <v>44.9863308698488-53.1909128128593i</v>
      </c>
      <c r="AT158" s="50">
        <f t="shared" si="194"/>
        <v>36.860141546662554</v>
      </c>
      <c r="AU158" s="61">
        <f t="shared" si="195"/>
        <v>-49.777055570763345</v>
      </c>
      <c r="AV158" s="32" t="str">
        <f t="shared" si="170"/>
        <v>-0.0000333333333333333</v>
      </c>
      <c r="AW158" s="32" t="str">
        <f t="shared" si="171"/>
        <v>0.0000757567100148709i</v>
      </c>
      <c r="AX158" s="32">
        <f t="shared" si="196"/>
        <v>7.5756710014870897E-5</v>
      </c>
      <c r="AY158" s="32">
        <f t="shared" si="197"/>
        <v>1.5707963267948966</v>
      </c>
      <c r="AZ158" s="32" t="str">
        <f t="shared" si="172"/>
        <v>1+0.0309076855095394i</v>
      </c>
      <c r="BA158" s="32">
        <f t="shared" si="198"/>
        <v>1.0004775284950465</v>
      </c>
      <c r="BB158" s="32">
        <f t="shared" si="199"/>
        <v>3.0897849263748476E-2</v>
      </c>
      <c r="BC158" s="32" t="str">
        <f t="shared" si="173"/>
        <v>1+1.48356890445789i</v>
      </c>
      <c r="BD158" s="32">
        <f t="shared" si="200"/>
        <v>1.7891273555212284</v>
      </c>
      <c r="BE158" s="32">
        <f t="shared" si="201"/>
        <v>0.9776994121487208</v>
      </c>
      <c r="BF158" s="59" t="str">
        <f t="shared" si="202"/>
        <v>-0.638568226077846+0.45974169419909i</v>
      </c>
      <c r="BG158" s="50">
        <f t="shared" si="203"/>
        <v>-2.0821688574829125</v>
      </c>
      <c r="BH158" s="61">
        <f t="shared" si="204"/>
        <v>144.24773358969898</v>
      </c>
      <c r="BI158" s="59" t="str">
        <f t="shared" si="205"/>
        <v>-0.413272366400718+9.18186424529396i</v>
      </c>
      <c r="BJ158" s="64">
        <f t="shared" si="206"/>
        <v>19.267406677859491</v>
      </c>
      <c r="BK158" s="61">
        <f t="shared" si="207"/>
        <v>92.577122809680063</v>
      </c>
      <c r="BL158" s="59" t="str">
        <f t="shared" si="158"/>
        <v>-4.27276112873037+54.648118808274i</v>
      </c>
      <c r="BM158" s="64">
        <f t="shared" si="208"/>
        <v>34.777972689179634</v>
      </c>
      <c r="BN158" s="61">
        <f t="shared" si="159"/>
        <v>94.470678018935644</v>
      </c>
      <c r="BO158" s="50">
        <f t="shared" si="209"/>
        <v>19.267406677859491</v>
      </c>
      <c r="BP158" s="61">
        <f t="shared" si="210"/>
        <v>92.577122809680063</v>
      </c>
    </row>
    <row r="159" spans="14:68" x14ac:dyDescent="0.25">
      <c r="N159" s="11">
        <v>41</v>
      </c>
      <c r="O159" s="51">
        <f t="shared" si="160"/>
        <v>257.03957827688663</v>
      </c>
      <c r="P159" s="49" t="str">
        <f t="shared" si="161"/>
        <v>37.1583961085025</v>
      </c>
      <c r="Q159" s="18" t="str">
        <f t="shared" si="162"/>
        <v>1+1.26587441669001i</v>
      </c>
      <c r="R159" s="18">
        <f t="shared" si="174"/>
        <v>1.6132073762632855</v>
      </c>
      <c r="S159" s="18">
        <f t="shared" si="175"/>
        <v>0.90220259917676171</v>
      </c>
      <c r="T159" s="18" t="str">
        <f t="shared" si="163"/>
        <v>1+0.00145352457143367i</v>
      </c>
      <c r="U159" s="18">
        <f t="shared" si="176"/>
        <v>1.000001056366282</v>
      </c>
      <c r="V159" s="18">
        <f t="shared" si="177"/>
        <v>1.4535235477981954E-3</v>
      </c>
      <c r="W159" s="32" t="str">
        <f t="shared" si="164"/>
        <v>1-0.0127225458003092i</v>
      </c>
      <c r="X159" s="18">
        <f t="shared" si="178"/>
        <v>1.0000809283111247</v>
      </c>
      <c r="Y159" s="18">
        <f t="shared" si="179"/>
        <v>-1.2721859429761973E-2</v>
      </c>
      <c r="Z159" s="32" t="str">
        <f t="shared" si="165"/>
        <v>0.99999834826638+0.003063168448688i</v>
      </c>
      <c r="AA159" s="18">
        <f t="shared" si="180"/>
        <v>1.0000030397635966</v>
      </c>
      <c r="AB159" s="18">
        <f t="shared" si="181"/>
        <v>3.0631639276703145E-3</v>
      </c>
      <c r="AC159" s="32" t="str">
        <f>IMDIV(IMSUM(COMPLEX(0,2*PI()*O159*Constants!$B$61*Constants!$B$62),COMPLEX(1,0)),IMSUM(COMPLEX(0,2*PI()*O159*Constants!$B$61*Constants!$B$62),COMPLEX(2,0)))</f>
        <v>0.500005216571944+0.00161501045178075i</v>
      </c>
      <c r="AD159" s="18">
        <f t="shared" si="182"/>
        <v>0.50000782479668848</v>
      </c>
      <c r="AE159" s="18">
        <f t="shared" si="183"/>
        <v>3.2299759720883759E-3</v>
      </c>
      <c r="AF159" s="66" t="str">
        <f t="shared" si="184"/>
        <v>7.03905145679578-9.11682784101155i</v>
      </c>
      <c r="AG159" s="64">
        <f t="shared" si="185"/>
        <v>21.227556912294432</v>
      </c>
      <c r="AH159" s="61">
        <f t="shared" si="186"/>
        <v>-52.328471660616877</v>
      </c>
      <c r="AI159" s="50" t="str">
        <f t="shared" si="166"/>
        <v>107.538871525172</v>
      </c>
      <c r="AJ159" s="50" t="str">
        <f t="shared" si="167"/>
        <v>1+1.20340508349217i</v>
      </c>
      <c r="AK159" s="50">
        <f t="shared" si="187"/>
        <v>1.5646673112757217</v>
      </c>
      <c r="AL159" s="50">
        <f t="shared" si="188"/>
        <v>0.87745124263379037</v>
      </c>
      <c r="AM159" s="50" t="str">
        <f t="shared" si="168"/>
        <v>1+0.00145352457143367i</v>
      </c>
      <c r="AN159" s="50">
        <f t="shared" si="189"/>
        <v>1.000001056366282</v>
      </c>
      <c r="AO159" s="50">
        <f t="shared" si="190"/>
        <v>1.4535235477981954E-3</v>
      </c>
      <c r="AP159" s="50" t="str">
        <f t="shared" si="169"/>
        <v>1-0.00417913507693594i</v>
      </c>
      <c r="AQ159" s="50">
        <f t="shared" si="191"/>
        <v>1.000008732546867</v>
      </c>
      <c r="AR159" s="50">
        <f t="shared" si="192"/>
        <v>-4.179110747422712E-3</v>
      </c>
      <c r="AS159" s="59" t="str">
        <f t="shared" si="193"/>
        <v>43.782168656198-52.9807934051591i</v>
      </c>
      <c r="AT159" s="50">
        <f t="shared" si="194"/>
        <v>36.742954332476721</v>
      </c>
      <c r="AU159" s="61">
        <f t="shared" si="195"/>
        <v>-50.430417574659124</v>
      </c>
      <c r="AV159" s="32" t="str">
        <f t="shared" si="170"/>
        <v>-0.0000333333333333333</v>
      </c>
      <c r="AW159" s="32" t="str">
        <f t="shared" si="171"/>
        <v>0.0000775213104764626i</v>
      </c>
      <c r="AX159" s="32">
        <f t="shared" si="196"/>
        <v>7.7521310476462606E-5</v>
      </c>
      <c r="AY159" s="32">
        <f t="shared" si="197"/>
        <v>1.5707963267948966</v>
      </c>
      <c r="AZ159" s="32" t="str">
        <f t="shared" si="172"/>
        <v>1+0.031627617989529i</v>
      </c>
      <c r="BA159" s="32">
        <f t="shared" si="198"/>
        <v>1.0005000280957974</v>
      </c>
      <c r="BB159" s="32">
        <f t="shared" si="199"/>
        <v>3.1617078546745336E-2</v>
      </c>
      <c r="BC159" s="32" t="str">
        <f t="shared" si="173"/>
        <v>1+1.5181256634974i</v>
      </c>
      <c r="BD159" s="32">
        <f t="shared" si="200"/>
        <v>1.8178849056443098</v>
      </c>
      <c r="BE159" s="32">
        <f t="shared" si="201"/>
        <v>0.98832452463497988</v>
      </c>
      <c r="BF159" s="59" t="str">
        <f t="shared" si="202"/>
        <v>-0.638539505701673+0.450184774611323i</v>
      </c>
      <c r="BG159" s="50">
        <f t="shared" si="203"/>
        <v>-2.1438616403830748</v>
      </c>
      <c r="BH159" s="61">
        <f t="shared" si="204"/>
        <v>144.81529888959574</v>
      </c>
      <c r="BI159" s="59" t="str">
        <f t="shared" si="205"/>
        <v>-0.390455351054999+8.99032853672188i</v>
      </c>
      <c r="BJ159" s="64">
        <f t="shared" si="206"/>
        <v>19.08369527191136</v>
      </c>
      <c r="BK159" s="61">
        <f t="shared" si="207"/>
        <v>92.486827228978882</v>
      </c>
      <c r="BL159" s="59" t="str">
        <f t="shared" si="158"/>
        <v>-4.10549779444533+53.5403953610982i</v>
      </c>
      <c r="BM159" s="64">
        <f t="shared" si="208"/>
        <v>34.599092692093649</v>
      </c>
      <c r="BN159" s="61">
        <f t="shared" si="159"/>
        <v>94.384881314936607</v>
      </c>
      <c r="BO159" s="50">
        <f t="shared" si="209"/>
        <v>19.08369527191136</v>
      </c>
      <c r="BP159" s="61">
        <f t="shared" si="210"/>
        <v>92.486827228978882</v>
      </c>
    </row>
    <row r="160" spans="14:68" x14ac:dyDescent="0.25">
      <c r="N160" s="11">
        <v>42</v>
      </c>
      <c r="O160" s="51">
        <f t="shared" si="160"/>
        <v>263.02679918953817</v>
      </c>
      <c r="P160" s="49" t="str">
        <f t="shared" si="161"/>
        <v>37.1583961085025</v>
      </c>
      <c r="Q160" s="18" t="str">
        <f t="shared" si="162"/>
        <v>1+1.29536041970637i</v>
      </c>
      <c r="R160" s="18">
        <f t="shared" si="174"/>
        <v>1.6364469490154157</v>
      </c>
      <c r="S160" s="18">
        <f t="shared" si="175"/>
        <v>0.91337207535022336</v>
      </c>
      <c r="T160" s="18" t="str">
        <f t="shared" si="163"/>
        <v>1+0.00148738150805596i</v>
      </c>
      <c r="U160" s="18">
        <f t="shared" si="176"/>
        <v>1.0000011061512635</v>
      </c>
      <c r="V160" s="18">
        <f t="shared" si="177"/>
        <v>1.4873804112108531E-3</v>
      </c>
      <c r="W160" s="32" t="str">
        <f t="shared" si="164"/>
        <v>1-0.0130188919614273i</v>
      </c>
      <c r="X160" s="18">
        <f t="shared" si="178"/>
        <v>1.0000847421833328</v>
      </c>
      <c r="Y160" s="18">
        <f t="shared" si="179"/>
        <v>-1.3018156505501147E-2</v>
      </c>
      <c r="Z160" s="32" t="str">
        <f t="shared" si="165"/>
        <v>0.999998270422573+0.00313451880771793i</v>
      </c>
      <c r="AA160" s="18">
        <f t="shared" si="180"/>
        <v>1.0000031830230811</v>
      </c>
      <c r="AB160" s="18">
        <f t="shared" si="181"/>
        <v>3.1345139633609477E-3</v>
      </c>
      <c r="AC160" s="32" t="str">
        <f>IMDIV(IMSUM(COMPLEX(0,2*PI()*O160*Constants!$B$61*Constants!$B$62),COMPLEX(1,0)),IMSUM(COMPLEX(0,2*PI()*O160*Constants!$B$61*Constants!$B$62),COMPLEX(2,0)))</f>
        <v>0.50000546241872+0.00165262806517198i</v>
      </c>
      <c r="AD160" s="18">
        <f t="shared" si="182"/>
        <v>0.50000819356094539</v>
      </c>
      <c r="AE160" s="18">
        <f t="shared" si="183"/>
        <v>3.3052079854954141E-3</v>
      </c>
      <c r="AF160" s="66" t="str">
        <f t="shared" si="184"/>
        <v>6.83595996929384-9.06610955598179i</v>
      </c>
      <c r="AG160" s="64">
        <f t="shared" si="185"/>
        <v>21.103360998015074</v>
      </c>
      <c r="AH160" s="61">
        <f t="shared" si="186"/>
        <v>-52.983249800329645</v>
      </c>
      <c r="AI160" s="50" t="str">
        <f t="shared" si="166"/>
        <v>107.538871525172</v>
      </c>
      <c r="AJ160" s="50" t="str">
        <f t="shared" si="167"/>
        <v>1+1.23143598881257i</v>
      </c>
      <c r="AK160" s="50">
        <f t="shared" si="187"/>
        <v>1.5863273919789671</v>
      </c>
      <c r="AL160" s="50">
        <f t="shared" si="188"/>
        <v>0.88874481979860098</v>
      </c>
      <c r="AM160" s="50" t="str">
        <f t="shared" si="168"/>
        <v>1+0.00148738150805596i</v>
      </c>
      <c r="AN160" s="50">
        <f t="shared" si="189"/>
        <v>1.0000011061512635</v>
      </c>
      <c r="AO160" s="50">
        <f t="shared" si="190"/>
        <v>1.4873804112108531E-3</v>
      </c>
      <c r="AP160" s="50" t="str">
        <f t="shared" si="169"/>
        <v>1-0.00427647963802323i</v>
      </c>
      <c r="AQ160" s="50">
        <f t="shared" si="191"/>
        <v>1.0000091440972398</v>
      </c>
      <c r="AR160" s="50">
        <f t="shared" si="192"/>
        <v>-4.2764535684929944E-3</v>
      </c>
      <c r="AS160" s="59" t="str">
        <f t="shared" si="193"/>
        <v>42.5881138449808-52.7444725498258i</v>
      </c>
      <c r="AT160" s="50">
        <f t="shared" si="194"/>
        <v>36.623542058880417</v>
      </c>
      <c r="AU160" s="61">
        <f t="shared" si="195"/>
        <v>-51.081129359240165</v>
      </c>
      <c r="AV160" s="32" t="str">
        <f t="shared" si="170"/>
        <v>-0.0000333333333333333</v>
      </c>
      <c r="AW160" s="32" t="str">
        <f t="shared" si="171"/>
        <v>0.0000793270137629847i</v>
      </c>
      <c r="AX160" s="32">
        <f t="shared" si="196"/>
        <v>7.9327013762984697E-5</v>
      </c>
      <c r="AY160" s="32">
        <f t="shared" si="197"/>
        <v>1.5707963267948966</v>
      </c>
      <c r="AZ160" s="32" t="str">
        <f t="shared" si="172"/>
        <v>1+0.0323643198512177i</v>
      </c>
      <c r="BA160" s="32">
        <f t="shared" si="198"/>
        <v>1.0005235875277663</v>
      </c>
      <c r="BB160" s="32">
        <f t="shared" si="199"/>
        <v>3.2353026953970826E-2</v>
      </c>
      <c r="BC160" s="32" t="str">
        <f t="shared" si="173"/>
        <v>1+1.55348735285845i</v>
      </c>
      <c r="BD160" s="32">
        <f t="shared" si="200"/>
        <v>1.8475180528187416</v>
      </c>
      <c r="BE160" s="32">
        <f t="shared" si="201"/>
        <v>0.99885349624470465</v>
      </c>
      <c r="BF160" s="59" t="str">
        <f t="shared" si="202"/>
        <v>-0.638509434544696+0.44086646339777i</v>
      </c>
      <c r="BG160" s="50">
        <f t="shared" si="203"/>
        <v>-2.203620027409078</v>
      </c>
      <c r="BH160" s="61">
        <f t="shared" si="204"/>
        <v>145.37639778777245</v>
      </c>
      <c r="BI160" s="59" t="str">
        <f t="shared" si="205"/>
        <v>-0.367881277841568+8.8025419817015i</v>
      </c>
      <c r="BJ160" s="64">
        <f t="shared" si="206"/>
        <v>18.89974097060599</v>
      </c>
      <c r="BK160" s="61">
        <f t="shared" si="207"/>
        <v>92.393147987442816</v>
      </c>
      <c r="BL160" s="59" t="str">
        <f t="shared" si="158"/>
        <v>-3.93964341266137+52.4535144767658i</v>
      </c>
      <c r="BM160" s="64">
        <f t="shared" si="208"/>
        <v>34.419922031471344</v>
      </c>
      <c r="BN160" s="61">
        <f t="shared" si="159"/>
        <v>94.295268428532296</v>
      </c>
      <c r="BO160" s="50">
        <f t="shared" si="209"/>
        <v>18.89974097060599</v>
      </c>
      <c r="BP160" s="61">
        <f t="shared" si="210"/>
        <v>92.393147987442816</v>
      </c>
    </row>
    <row r="161" spans="14:68" x14ac:dyDescent="0.25">
      <c r="N161" s="11">
        <v>43</v>
      </c>
      <c r="O161" s="51">
        <f t="shared" si="160"/>
        <v>269.15348039269179</v>
      </c>
      <c r="P161" s="49" t="str">
        <f t="shared" si="161"/>
        <v>37.1583961085025</v>
      </c>
      <c r="Q161" s="18" t="str">
        <f t="shared" si="162"/>
        <v>1+1.32553323996339i</v>
      </c>
      <c r="R161" s="18">
        <f t="shared" si="174"/>
        <v>1.6604331875290381</v>
      </c>
      <c r="S161" s="18">
        <f t="shared" si="175"/>
        <v>0.92447663893813714</v>
      </c>
      <c r="T161" s="18" t="str">
        <f t="shared" si="163"/>
        <v>1+0.00152202707404165i</v>
      </c>
      <c r="U161" s="18">
        <f t="shared" si="176"/>
        <v>1.0000011582825361</v>
      </c>
      <c r="V161" s="18">
        <f t="shared" si="177"/>
        <v>1.5220258987510165E-3</v>
      </c>
      <c r="W161" s="32" t="str">
        <f t="shared" si="164"/>
        <v>1-0.0133221409113888i</v>
      </c>
      <c r="X161" s="18">
        <f t="shared" si="178"/>
        <v>1.0000887357822119</v>
      </c>
      <c r="Y161" s="18">
        <f t="shared" si="179"/>
        <v>-1.3321352859942162E-2</v>
      </c>
      <c r="Z161" s="32" t="str">
        <f t="shared" si="165"/>
        <v>0.9999981889101+0.00320753113010999i</v>
      </c>
      <c r="AA161" s="18">
        <f t="shared" si="180"/>
        <v>1.0000033330341607</v>
      </c>
      <c r="AB161" s="18">
        <f t="shared" si="181"/>
        <v>3.2075259392888023E-3</v>
      </c>
      <c r="AC161" s="32" t="str">
        <f>IMDIV(IMSUM(COMPLEX(0,2*PI()*O161*Constants!$B$61*Constants!$B$62),COMPLEX(1,0)),IMSUM(COMPLEX(0,2*PI()*O161*Constants!$B$61*Constants!$B$62),COMPLEX(2,0)))</f>
        <v>0.500005719851638+0.00169112184722616i</v>
      </c>
      <c r="AD161" s="18">
        <f t="shared" si="182"/>
        <v>0.5000085797038456</v>
      </c>
      <c r="AE161" s="18">
        <f t="shared" si="183"/>
        <v>3.3821921064212429E-3</v>
      </c>
      <c r="AF161" s="66" t="str">
        <f t="shared" si="184"/>
        <v>6.6352220921669-9.01120184968039i</v>
      </c>
      <c r="AG161" s="64">
        <f t="shared" si="185"/>
        <v>20.977012052411347</v>
      </c>
      <c r="AH161" s="61">
        <f t="shared" si="186"/>
        <v>-53.634653671365747</v>
      </c>
      <c r="AI161" s="50" t="str">
        <f t="shared" si="166"/>
        <v>107.538871525172</v>
      </c>
      <c r="AJ161" s="50" t="str">
        <f t="shared" si="167"/>
        <v>1+1.26011981779423i</v>
      </c>
      <c r="AK161" s="50">
        <f t="shared" si="187"/>
        <v>1.6086957310808543</v>
      </c>
      <c r="AL161" s="50">
        <f t="shared" si="188"/>
        <v>0.89998516209702295</v>
      </c>
      <c r="AM161" s="50" t="str">
        <f t="shared" si="168"/>
        <v>1+0.00152202707404165i</v>
      </c>
      <c r="AN161" s="50">
        <f t="shared" si="189"/>
        <v>1.0000011582825361</v>
      </c>
      <c r="AO161" s="50">
        <f t="shared" si="190"/>
        <v>1.5220258987510165E-3</v>
      </c>
      <c r="AP161" s="50" t="str">
        <f t="shared" si="169"/>
        <v>1-0.00437609164522052i</v>
      </c>
      <c r="AQ161" s="50">
        <f t="shared" si="191"/>
        <v>1.000009575043203</v>
      </c>
      <c r="AR161" s="50">
        <f t="shared" si="192"/>
        <v>-4.3760637112300396E-3</v>
      </c>
      <c r="AS161" s="59" t="str">
        <f t="shared" si="193"/>
        <v>41.405288932265-52.4825480282878i</v>
      </c>
      <c r="AT161" s="50">
        <f t="shared" si="194"/>
        <v>36.501924537696524</v>
      </c>
      <c r="AU161" s="61">
        <f t="shared" si="195"/>
        <v>-51.728875733782488</v>
      </c>
      <c r="AV161" s="32" t="str">
        <f t="shared" si="170"/>
        <v>-0.0000333333333333333</v>
      </c>
      <c r="AW161" s="32" t="str">
        <f t="shared" si="171"/>
        <v>0.0000811747772822213i</v>
      </c>
      <c r="AX161" s="32">
        <f t="shared" si="196"/>
        <v>8.11747772822213E-5</v>
      </c>
      <c r="AY161" s="32">
        <f t="shared" si="197"/>
        <v>1.5707963267948966</v>
      </c>
      <c r="AZ161" s="32" t="str">
        <f t="shared" si="172"/>
        <v>1+0.0331181817036841i</v>
      </c>
      <c r="BA161" s="32">
        <f t="shared" si="198"/>
        <v>1.0005482566869817</v>
      </c>
      <c r="BB161" s="32">
        <f t="shared" si="199"/>
        <v>3.3106081504353298E-2</v>
      </c>
      <c r="BC161" s="32" t="str">
        <f t="shared" si="173"/>
        <v>1+1.58967272177684i</v>
      </c>
      <c r="BD161" s="32">
        <f t="shared" si="200"/>
        <v>1.8780466880142748</v>
      </c>
      <c r="BE161" s="32">
        <f t="shared" si="201"/>
        <v>1.0092825715202762</v>
      </c>
      <c r="BF161" s="59" t="str">
        <f t="shared" si="202"/>
        <v>-0.638477949213303+0.431781813760806i</v>
      </c>
      <c r="BG161" s="50">
        <f t="shared" si="203"/>
        <v>-2.2614803097396723</v>
      </c>
      <c r="BH161" s="61">
        <f t="shared" si="204"/>
        <v>145.93079293780687</v>
      </c>
      <c r="BI161" s="59" t="str">
        <f t="shared" si="205"/>
        <v>-0.345569915161795+8.61842190659265i</v>
      </c>
      <c r="BJ161" s="64">
        <f t="shared" si="206"/>
        <v>18.715531742671672</v>
      </c>
      <c r="BK161" s="61">
        <f t="shared" si="207"/>
        <v>92.296139266441088</v>
      </c>
      <c r="BL161" s="59" t="str">
        <f t="shared" si="158"/>
        <v>-3.77535418561411+51.3870003890535i</v>
      </c>
      <c r="BM161" s="64">
        <f t="shared" si="208"/>
        <v>34.240444227956857</v>
      </c>
      <c r="BN161" s="61">
        <f t="shared" si="159"/>
        <v>94.201917204024355</v>
      </c>
      <c r="BO161" s="50">
        <f t="shared" si="209"/>
        <v>18.715531742671672</v>
      </c>
      <c r="BP161" s="61">
        <f t="shared" si="210"/>
        <v>92.296139266441088</v>
      </c>
    </row>
    <row r="162" spans="14:68" x14ac:dyDescent="0.25">
      <c r="N162" s="11">
        <v>44</v>
      </c>
      <c r="O162" s="51">
        <f t="shared" si="160"/>
        <v>275.42287033381683</v>
      </c>
      <c r="P162" s="49" t="str">
        <f t="shared" si="161"/>
        <v>37.1583961085025</v>
      </c>
      <c r="Q162" s="18" t="str">
        <f t="shared" si="162"/>
        <v>1+1.35640887548974i</v>
      </c>
      <c r="R162" s="18">
        <f t="shared" si="174"/>
        <v>1.6851839773470851</v>
      </c>
      <c r="S162" s="18">
        <f t="shared" si="175"/>
        <v>0.93551122364101991</v>
      </c>
      <c r="T162" s="18" t="str">
        <f t="shared" si="163"/>
        <v>1+0.0015574796389284i</v>
      </c>
      <c r="U162" s="18">
        <f t="shared" si="176"/>
        <v>1.0000012128706772</v>
      </c>
      <c r="V162" s="18">
        <f t="shared" si="177"/>
        <v>1.5574783795818795E-3</v>
      </c>
      <c r="W162" s="32" t="str">
        <f t="shared" si="164"/>
        <v>1-0.0136324534368009i</v>
      </c>
      <c r="X162" s="18">
        <f t="shared" si="178"/>
        <v>1.0000929175765152</v>
      </c>
      <c r="Y162" s="18">
        <f t="shared" si="179"/>
        <v>-1.3631609028699435E-2</v>
      </c>
      <c r="Z162" s="32" t="str">
        <f t="shared" si="165"/>
        <v>0.999998103556062+0.00328224412796393i</v>
      </c>
      <c r="AA162" s="18">
        <f t="shared" si="180"/>
        <v>1.0000034901150276</v>
      </c>
      <c r="AB162" s="18">
        <f t="shared" si="181"/>
        <v>3.2822385658997613E-3</v>
      </c>
      <c r="AC162" s="32" t="str">
        <f>IMDIV(IMSUM(COMPLEX(0,2*PI()*O162*Constants!$B$61*Constants!$B$62),COMPLEX(1,0)),IMSUM(COMPLEX(0,2*PI()*O162*Constants!$B$61*Constants!$B$62),COMPLEX(2,0)))</f>
        <v>0.500005989416711+0.00173051220237694i</v>
      </c>
      <c r="AD162" s="18">
        <f t="shared" si="182"/>
        <v>0.50000898404435368</v>
      </c>
      <c r="AE162" s="18">
        <f t="shared" si="183"/>
        <v>3.4609691272988923E-3</v>
      </c>
      <c r="AF162" s="66" t="str">
        <f t="shared" si="184"/>
        <v>6.43700615685024-8.95223806780275i</v>
      </c>
      <c r="AG162" s="64">
        <f t="shared" si="185"/>
        <v>20.848536184126758</v>
      </c>
      <c r="AH162" s="61">
        <f t="shared" si="186"/>
        <v>-54.282401022395419</v>
      </c>
      <c r="AI162" s="50" t="str">
        <f t="shared" si="166"/>
        <v>107.538871525172</v>
      </c>
      <c r="AJ162" s="50" t="str">
        <f t="shared" si="167"/>
        <v>1+1.28947177898294i</v>
      </c>
      <c r="AK162" s="50">
        <f t="shared" si="187"/>
        <v>1.6317896521284316</v>
      </c>
      <c r="AL162" s="50">
        <f t="shared" si="188"/>
        <v>0.91116686864401686</v>
      </c>
      <c r="AM162" s="50" t="str">
        <f t="shared" si="168"/>
        <v>1+0.0015574796389284i</v>
      </c>
      <c r="AN162" s="50">
        <f t="shared" si="189"/>
        <v>1.0000012128706772</v>
      </c>
      <c r="AO162" s="50">
        <f t="shared" si="190"/>
        <v>1.5574783795818795E-3</v>
      </c>
      <c r="AP162" s="50" t="str">
        <f t="shared" si="169"/>
        <v>1-0.00447802391413252i</v>
      </c>
      <c r="AQ162" s="50">
        <f t="shared" si="191"/>
        <v>1.0000100262988245</v>
      </c>
      <c r="AR162" s="50">
        <f t="shared" si="192"/>
        <v>-4.4779939823386562E-3</v>
      </c>
      <c r="AS162" s="59" t="str">
        <f t="shared" si="193"/>
        <v>40.2347718379079-52.1956748543945i</v>
      </c>
      <c r="AT162" s="50">
        <f t="shared" si="194"/>
        <v>36.378123623267768</v>
      </c>
      <c r="AU162" s="61">
        <f t="shared" si="195"/>
        <v>-52.373349223493278</v>
      </c>
      <c r="AV162" s="32" t="str">
        <f t="shared" si="170"/>
        <v>-0.0000333333333333333</v>
      </c>
      <c r="AW162" s="32" t="str">
        <f t="shared" si="171"/>
        <v>0.000083065580742848i</v>
      </c>
      <c r="AX162" s="32">
        <f t="shared" si="196"/>
        <v>8.3065580742847995E-5</v>
      </c>
      <c r="AY162" s="32">
        <f t="shared" si="197"/>
        <v>1.5707963267948966</v>
      </c>
      <c r="AZ162" s="32" t="str">
        <f t="shared" si="172"/>
        <v>1+0.0338896032544607i</v>
      </c>
      <c r="BA162" s="32">
        <f t="shared" si="198"/>
        <v>1.0005740878159621</v>
      </c>
      <c r="BB162" s="32">
        <f t="shared" si="199"/>
        <v>3.3876638059025362E-2</v>
      </c>
      <c r="BC162" s="32" t="str">
        <f t="shared" si="173"/>
        <v>1+1.62670095621411i</v>
      </c>
      <c r="BD162" s="32">
        <f t="shared" si="200"/>
        <v>1.9094910319108336</v>
      </c>
      <c r="BE162" s="32">
        <f t="shared" si="201"/>
        <v>1.0196082052206401</v>
      </c>
      <c r="BF162" s="59" t="str">
        <f t="shared" si="202"/>
        <v>-0.638444983351866+0.422926002358176i</v>
      </c>
      <c r="BG162" s="50">
        <f t="shared" si="203"/>
        <v>-2.317479781439518</v>
      </c>
      <c r="BH162" s="61">
        <f t="shared" si="204"/>
        <v>146.47825853117695</v>
      </c>
      <c r="BI162" s="59" t="str">
        <f t="shared" si="205"/>
        <v>-0.323540030471611+8.4378887652319i</v>
      </c>
      <c r="BJ162" s="64">
        <f t="shared" si="206"/>
        <v>18.531056402687231</v>
      </c>
      <c r="BK162" s="61">
        <f t="shared" si="207"/>
        <v>92.195857508781515</v>
      </c>
      <c r="BL162" s="59" t="str">
        <f t="shared" si="158"/>
        <v>-3.612780129663+50.340397972653i</v>
      </c>
      <c r="BM162" s="64">
        <f t="shared" si="208"/>
        <v>34.060643841828252</v>
      </c>
      <c r="BN162" s="61">
        <f t="shared" si="159"/>
        <v>94.10490930768367</v>
      </c>
      <c r="BO162" s="50">
        <f t="shared" si="209"/>
        <v>18.531056402687231</v>
      </c>
      <c r="BP162" s="61">
        <f t="shared" si="210"/>
        <v>92.195857508781515</v>
      </c>
    </row>
    <row r="163" spans="14:68" x14ac:dyDescent="0.25">
      <c r="N163" s="11">
        <v>45</v>
      </c>
      <c r="O163" s="51">
        <f t="shared" si="160"/>
        <v>281.83829312644554</v>
      </c>
      <c r="P163" s="49" t="str">
        <f t="shared" si="161"/>
        <v>37.1583961085025</v>
      </c>
      <c r="Q163" s="18" t="str">
        <f t="shared" si="162"/>
        <v>1+1.38800369695607i</v>
      </c>
      <c r="R163" s="18">
        <f t="shared" si="174"/>
        <v>1.7107174701755163</v>
      </c>
      <c r="S163" s="18">
        <f t="shared" si="175"/>
        <v>0.94647093176194219</v>
      </c>
      <c r="T163" s="18" t="str">
        <f t="shared" si="163"/>
        <v>1+0.0015937580001354i</v>
      </c>
      <c r="U163" s="18">
        <f t="shared" si="176"/>
        <v>1.0000012700314749</v>
      </c>
      <c r="V163" s="18">
        <f t="shared" si="177"/>
        <v>1.5937566507213839E-3</v>
      </c>
      <c r="W163" s="32" t="str">
        <f t="shared" si="164"/>
        <v>1-0.0139499940694721i</v>
      </c>
      <c r="X163" s="18">
        <f t="shared" si="178"/>
        <v>1.0000972964339712</v>
      </c>
      <c r="Y163" s="18">
        <f t="shared" si="179"/>
        <v>-1.3949089274643958E-2</v>
      </c>
      <c r="Z163" s="32" t="str">
        <f t="shared" si="165"/>
        <v>0.999998014179413+0.00335869741510014i</v>
      </c>
      <c r="AA163" s="18">
        <f t="shared" si="180"/>
        <v>1.0000036545988698</v>
      </c>
      <c r="AB163" s="18">
        <f t="shared" si="181"/>
        <v>3.3586914552420628E-3</v>
      </c>
      <c r="AC163" s="32" t="str">
        <f>IMDIV(IMSUM(COMPLEX(0,2*PI()*O163*Constants!$B$61*Constants!$B$62),COMPLEX(1,0)),IMSUM(COMPLEX(0,2*PI()*O163*Constants!$B$61*Constants!$B$62),COMPLEX(2,0)))</f>
        <v>0.500006271685684+0.00177082001004103i</v>
      </c>
      <c r="AD163" s="18">
        <f t="shared" si="182"/>
        <v>0.50000940744002609</v>
      </c>
      <c r="AE163" s="18">
        <f t="shared" si="183"/>
        <v>3.5415807893523009E-3</v>
      </c>
      <c r="AF163" s="66" t="str">
        <f t="shared" si="184"/>
        <v>6.24147101668262-8.88935921501252i</v>
      </c>
      <c r="AG163" s="64">
        <f t="shared" si="185"/>
        <v>20.717961251989479</v>
      </c>
      <c r="AH163" s="61">
        <f t="shared" si="186"/>
        <v>-54.926219448642371</v>
      </c>
      <c r="AI163" s="50" t="str">
        <f t="shared" si="166"/>
        <v>107.538871525172</v>
      </c>
      <c r="AJ163" s="50" t="str">
        <f t="shared" si="167"/>
        <v>1+1.31950743517704i</v>
      </c>
      <c r="AK163" s="50">
        <f t="shared" si="187"/>
        <v>1.6556267307238941</v>
      </c>
      <c r="AL163" s="50">
        <f t="shared" si="188"/>
        <v>0.92228468425600885</v>
      </c>
      <c r="AM163" s="50" t="str">
        <f t="shared" si="168"/>
        <v>1+0.0015937580001354i</v>
      </c>
      <c r="AN163" s="50">
        <f t="shared" si="189"/>
        <v>1.0000012700314749</v>
      </c>
      <c r="AO163" s="50">
        <f t="shared" si="190"/>
        <v>1.5937566507213839E-3</v>
      </c>
      <c r="AP163" s="50" t="str">
        <f t="shared" si="169"/>
        <v>1-0.00458233049059744i</v>
      </c>
      <c r="AQ163" s="50">
        <f t="shared" si="191"/>
        <v>1.0000104988212499</v>
      </c>
      <c r="AR163" s="50">
        <f t="shared" si="192"/>
        <v>-4.5822984181206608E-3</v>
      </c>
      <c r="AS163" s="59" t="str">
        <f t="shared" si="193"/>
        <v>39.0775923680433-51.8845613915461i</v>
      </c>
      <c r="AT163" s="50">
        <f t="shared" si="194"/>
        <v>36.252163126419511</v>
      </c>
      <c r="AU163" s="61">
        <f t="shared" si="195"/>
        <v>-53.014250747595554</v>
      </c>
      <c r="AV163" s="32" t="str">
        <f t="shared" si="170"/>
        <v>-0.0000333333333333333</v>
      </c>
      <c r="AW163" s="32" t="str">
        <f t="shared" si="171"/>
        <v>0.0000850004266738875i</v>
      </c>
      <c r="AX163" s="32">
        <f t="shared" si="196"/>
        <v>8.5000426673887498E-5</v>
      </c>
      <c r="AY163" s="32">
        <f t="shared" si="197"/>
        <v>1.5707963267948966</v>
      </c>
      <c r="AZ163" s="32" t="str">
        <f t="shared" si="172"/>
        <v>1+0.0346789935214646i</v>
      </c>
      <c r="BA163" s="32">
        <f t="shared" si="198"/>
        <v>1.0006011356138178</v>
      </c>
      <c r="BB163" s="32">
        <f t="shared" si="199"/>
        <v>3.4665101514990554E-2</v>
      </c>
      <c r="BC163" s="32" t="str">
        <f t="shared" si="173"/>
        <v>1+1.6645916890303i</v>
      </c>
      <c r="BD163" s="32">
        <f t="shared" si="200"/>
        <v>1.9418716464248473</v>
      </c>
      <c r="BE163" s="32">
        <f t="shared" si="201"/>
        <v>1.0298270645242031</v>
      </c>
      <c r="BF163" s="59" t="str">
        <f t="shared" si="202"/>
        <v>-0.638410467505659+0.414294326714666i</v>
      </c>
      <c r="BG163" s="50">
        <f t="shared" si="203"/>
        <v>-2.3716566262822356</v>
      </c>
      <c r="BH163" s="61">
        <f t="shared" si="204"/>
        <v>147.01858041238185</v>
      </c>
      <c r="BI163" s="59" t="str">
        <f t="shared" si="205"/>
        <v>-0.301809338774949+8.26086600484751i</v>
      </c>
      <c r="BJ163" s="64">
        <f t="shared" si="206"/>
        <v>18.346304625707248</v>
      </c>
      <c r="BK163" s="61">
        <f t="shared" si="207"/>
        <v>92.092360963739495</v>
      </c>
      <c r="BL163" s="59" t="str">
        <f t="shared" si="158"/>
        <v>-3.45206458408175+49.3132719140517i</v>
      </c>
      <c r="BM163" s="64">
        <f t="shared" si="208"/>
        <v>33.880506500137272</v>
      </c>
      <c r="BN163" s="61">
        <f t="shared" si="159"/>
        <v>94.004329664786312</v>
      </c>
      <c r="BO163" s="50">
        <f t="shared" si="209"/>
        <v>18.346304625707248</v>
      </c>
      <c r="BP163" s="61">
        <f t="shared" si="210"/>
        <v>92.092360963739495</v>
      </c>
    </row>
    <row r="164" spans="14:68" x14ac:dyDescent="0.25">
      <c r="N164" s="11">
        <v>46</v>
      </c>
      <c r="O164" s="51">
        <f t="shared" si="160"/>
        <v>288.40315031266073</v>
      </c>
      <c r="P164" s="49" t="str">
        <f t="shared" si="161"/>
        <v>37.1583961085025</v>
      </c>
      <c r="Q164" s="18" t="str">
        <f t="shared" si="162"/>
        <v>1+1.42033445635493i</v>
      </c>
      <c r="R164" s="18">
        <f t="shared" si="174"/>
        <v>1.7370520913055703</v>
      </c>
      <c r="S164" s="18">
        <f t="shared" si="175"/>
        <v>0.95735104313888686</v>
      </c>
      <c r="T164" s="18" t="str">
        <f t="shared" si="163"/>
        <v>1+0.00163088139292994i</v>
      </c>
      <c r="U164" s="18">
        <f t="shared" si="176"/>
        <v>1.0000013298861745</v>
      </c>
      <c r="V164" s="18">
        <f t="shared" si="177"/>
        <v>1.6308799470068746E-3</v>
      </c>
      <c r="W164" s="32" t="str">
        <f t="shared" si="164"/>
        <v>1-0.0142749311736489i</v>
      </c>
      <c r="X164" s="18">
        <f t="shared" si="178"/>
        <v>1.000101881640072</v>
      </c>
      <c r="Y164" s="18">
        <f t="shared" si="179"/>
        <v>-1.4273961673857359E-2</v>
      </c>
      <c r="Z164" s="32" t="str">
        <f t="shared" si="165"/>
        <v>0.999997920590572+0.00343693152806346i</v>
      </c>
      <c r="AA164" s="18">
        <f t="shared" si="180"/>
        <v>1.0000038268345761</v>
      </c>
      <c r="AB164" s="18">
        <f t="shared" si="181"/>
        <v>3.4369251419616598E-3</v>
      </c>
      <c r="AC164" s="32" t="str">
        <f>IMDIV(IMSUM(COMPLEX(0,2*PI()*O164*Constants!$B$61*Constants!$B$62),COMPLEX(1,0)),IMSUM(COMPLEX(0,2*PI()*O164*Constants!$B$61*Constants!$B$62),COMPLEX(2,0)))</f>
        <v>0.500006567257242+0.00181206663566073i</v>
      </c>
      <c r="AD164" s="18">
        <f t="shared" si="182"/>
        <v>0.50000985078882498</v>
      </c>
      <c r="AE164" s="18">
        <f t="shared" si="183"/>
        <v>3.6240698045973772E-3</v>
      </c>
      <c r="AF164" s="66" t="str">
        <f t="shared" si="184"/>
        <v>6.04876565514359-8.82271317473226i</v>
      </c>
      <c r="AG164" s="64">
        <f t="shared" si="185"/>
        <v>20.585316761904949</v>
      </c>
      <c r="AH164" s="61">
        <f t="shared" si="186"/>
        <v>-55.565846907964989</v>
      </c>
      <c r="AI164" s="50" t="str">
        <f t="shared" si="166"/>
        <v>107.538871525172</v>
      </c>
      <c r="AJ164" s="50" t="str">
        <f t="shared" si="167"/>
        <v>1+1.35024271167901i</v>
      </c>
      <c r="AK164" s="50">
        <f t="shared" si="187"/>
        <v>1.6802248005675569</v>
      </c>
      <c r="AL164" s="50">
        <f t="shared" si="188"/>
        <v>0.93333351041193957</v>
      </c>
      <c r="AM164" s="50" t="str">
        <f t="shared" si="168"/>
        <v>1+0.00163088139292994i</v>
      </c>
      <c r="AN164" s="50">
        <f t="shared" si="189"/>
        <v>1.0000013298861745</v>
      </c>
      <c r="AO164" s="50">
        <f t="shared" si="190"/>
        <v>1.6308799470068746E-3</v>
      </c>
      <c r="AP164" s="50" t="str">
        <f t="shared" si="169"/>
        <v>1-0.00468906667934279i</v>
      </c>
      <c r="AQ164" s="50">
        <f t="shared" si="191"/>
        <v>1.0000109936127319</v>
      </c>
      <c r="AR164" s="50">
        <f t="shared" si="192"/>
        <v>-4.6890323130851586E-3</v>
      </c>
      <c r="AS164" s="59" t="str">
        <f t="shared" si="193"/>
        <v>37.9347290645444-51.5499652335347i</v>
      </c>
      <c r="AT164" s="50">
        <f t="shared" si="194"/>
        <v>36.124068722215618</v>
      </c>
      <c r="AU164" s="61">
        <f t="shared" si="195"/>
        <v>-53.651290248417844</v>
      </c>
      <c r="AV164" s="32" t="str">
        <f t="shared" si="170"/>
        <v>-0.0000333333333333333</v>
      </c>
      <c r="AW164" s="32" t="str">
        <f t="shared" si="171"/>
        <v>0.0000869803409562632i</v>
      </c>
      <c r="AX164" s="32">
        <f t="shared" si="196"/>
        <v>8.6980340956263207E-5</v>
      </c>
      <c r="AY164" s="32">
        <f t="shared" si="197"/>
        <v>1.5707963267948966</v>
      </c>
      <c r="AZ164" s="32" t="str">
        <f t="shared" si="172"/>
        <v>1+0.0354867710498644i</v>
      </c>
      <c r="BA164" s="32">
        <f t="shared" si="198"/>
        <v>1.000629457351494</v>
      </c>
      <c r="BB164" s="32">
        <f t="shared" si="199"/>
        <v>3.5471886002427594E-2</v>
      </c>
      <c r="BC164" s="32" t="str">
        <f t="shared" si="173"/>
        <v>1+1.70336501039349i</v>
      </c>
      <c r="BD164" s="32">
        <f t="shared" si="200"/>
        <v>1.9752094467759147</v>
      </c>
      <c r="BE164" s="32">
        <f t="shared" si="201"/>
        <v>1.0399360303177347</v>
      </c>
      <c r="BF164" s="59" t="str">
        <f t="shared" si="202"/>
        <v>-0.638374328977503+0.405882202695673i</v>
      </c>
      <c r="BG164" s="50">
        <f t="shared" si="203"/>
        <v>-2.4240498058045152</v>
      </c>
      <c r="BH164" s="61">
        <f t="shared" si="204"/>
        <v>147.55155614148669</v>
      </c>
      <c r="BI164" s="59" t="str">
        <f t="shared" si="205"/>
        <v>-0.280394459131993+8.0872799303803i</v>
      </c>
      <c r="BJ164" s="64">
        <f t="shared" si="206"/>
        <v>18.161266956100434</v>
      </c>
      <c r="BK164" s="61">
        <f t="shared" si="207"/>
        <v>91.985709233521675</v>
      </c>
      <c r="BL164" s="59" t="str">
        <f t="shared" si="158"/>
        <v>-3.29334377364949+48.3052058561522i</v>
      </c>
      <c r="BM164" s="64">
        <f t="shared" si="208"/>
        <v>33.700018916411103</v>
      </c>
      <c r="BN164" s="61">
        <f t="shared" si="159"/>
        <v>93.900265893068834</v>
      </c>
      <c r="BO164" s="50">
        <f t="shared" si="209"/>
        <v>18.161266956100434</v>
      </c>
      <c r="BP164" s="61">
        <f t="shared" si="210"/>
        <v>91.985709233521675</v>
      </c>
    </row>
    <row r="165" spans="14:68" x14ac:dyDescent="0.25">
      <c r="N165" s="11">
        <v>47</v>
      </c>
      <c r="O165" s="51">
        <f t="shared" si="160"/>
        <v>295.12092266663871</v>
      </c>
      <c r="P165" s="49" t="str">
        <f t="shared" si="161"/>
        <v>37.1583961085025</v>
      </c>
      <c r="Q165" s="18" t="str">
        <f t="shared" si="162"/>
        <v>1+1.45341829588289i</v>
      </c>
      <c r="R165" s="18">
        <f t="shared" si="174"/>
        <v>1.7642065476602007</v>
      </c>
      <c r="S165" s="18">
        <f t="shared" si="175"/>
        <v>0.96814702310734313</v>
      </c>
      <c r="T165" s="18" t="str">
        <f t="shared" si="163"/>
        <v>1+0.00166886950062628i</v>
      </c>
      <c r="U165" s="18">
        <f t="shared" si="176"/>
        <v>1.0000013925617355</v>
      </c>
      <c r="V165" s="18">
        <f t="shared" si="177"/>
        <v>1.6688679512919182E-3</v>
      </c>
      <c r="W165" s="32" t="str">
        <f t="shared" si="164"/>
        <v>1-0.0146074370352849i</v>
      </c>
      <c r="X165" s="18">
        <f t="shared" si="178"/>
        <v>1.0001066829177474</v>
      </c>
      <c r="Y165" s="18">
        <f t="shared" si="179"/>
        <v>-1.4606398203526711E-2</v>
      </c>
      <c r="Z165" s="32" t="str">
        <f t="shared" si="165"/>
        <v>0.999997822591025+0.00351698794761612i</v>
      </c>
      <c r="AA165" s="18">
        <f t="shared" si="180"/>
        <v>1.0000040071874787</v>
      </c>
      <c r="AB165" s="18">
        <f t="shared" si="181"/>
        <v>3.5169811047860867E-3</v>
      </c>
      <c r="AC165" s="32" t="str">
        <f>IMDIV(IMSUM(COMPLEX(0,2*PI()*O165*Constants!$B$61*Constants!$B$62),COMPLEX(1,0)),IMSUM(COMPLEX(0,2*PI()*O165*Constants!$B$61*Constants!$B$62),COMPLEX(2,0)))</f>
        <v>0.500006876758284+0.00185427394200217i</v>
      </c>
      <c r="AD165" s="18">
        <f t="shared" si="182"/>
        <v>0.500010315031026</v>
      </c>
      <c r="AE165" s="18">
        <f t="shared" si="183"/>
        <v>3.708479878348415E-3</v>
      </c>
      <c r="AF165" s="66" t="str">
        <f t="shared" si="184"/>
        <v>5.85902886682339-8.752453911934i</v>
      </c>
      <c r="AG165" s="64">
        <f t="shared" si="185"/>
        <v>20.450633759963171</v>
      </c>
      <c r="AH165" s="61">
        <f t="shared" si="186"/>
        <v>-56.201032181474076</v>
      </c>
      <c r="AI165" s="50" t="str">
        <f t="shared" si="166"/>
        <v>107.538871525172</v>
      </c>
      <c r="AJ165" s="50" t="str">
        <f t="shared" si="167"/>
        <v>1+1.38169390473929i</v>
      </c>
      <c r="AK165" s="50">
        <f t="shared" si="187"/>
        <v>1.7056019601283605</v>
      </c>
      <c r="AL165" s="50">
        <f t="shared" si="188"/>
        <v>0.944308415312899</v>
      </c>
      <c r="AM165" s="50" t="str">
        <f t="shared" si="168"/>
        <v>1+0.00166886950062628i</v>
      </c>
      <c r="AN165" s="50">
        <f t="shared" si="189"/>
        <v>1.0000013925617355</v>
      </c>
      <c r="AO165" s="50">
        <f t="shared" si="190"/>
        <v>1.6688679512919182E-3</v>
      </c>
      <c r="AP165" s="50" t="str">
        <f t="shared" si="169"/>
        <v>1-0.00479828907330866i</v>
      </c>
      <c r="AQ165" s="50">
        <f t="shared" si="191"/>
        <v>1.0000115117227557</v>
      </c>
      <c r="AR165" s="50">
        <f t="shared" si="192"/>
        <v>-4.7982522492230539E-3</v>
      </c>
      <c r="AS165" s="59" t="str">
        <f t="shared" si="193"/>
        <v>36.8071064569064-51.1926888919728i</v>
      </c>
      <c r="AT165" s="50">
        <f t="shared" si="194"/>
        <v>35.993867852240548</v>
      </c>
      <c r="AU165" s="61">
        <f t="shared" si="195"/>
        <v>-54.284187268862006</v>
      </c>
      <c r="AV165" s="32" t="str">
        <f t="shared" si="170"/>
        <v>-0.0000333333333333333</v>
      </c>
      <c r="AW165" s="32" t="str">
        <f t="shared" si="171"/>
        <v>0.0000890063733667348i</v>
      </c>
      <c r="AX165" s="32">
        <f t="shared" si="196"/>
        <v>8.9006373366734795E-5</v>
      </c>
      <c r="AY165" s="32">
        <f t="shared" si="197"/>
        <v>1.5707963267948966</v>
      </c>
      <c r="AZ165" s="32" t="str">
        <f t="shared" si="172"/>
        <v>1+0.0363133641339978i</v>
      </c>
      <c r="BA165" s="32">
        <f t="shared" si="198"/>
        <v>1.0006591129923958</v>
      </c>
      <c r="BB165" s="32">
        <f t="shared" si="199"/>
        <v>3.6297415085654886E-2</v>
      </c>
      <c r="BC165" s="32" t="str">
        <f t="shared" si="173"/>
        <v>1+1.7430414784319i</v>
      </c>
      <c r="BD165" s="32">
        <f t="shared" si="200"/>
        <v>2.0095257140763496</v>
      </c>
      <c r="BE165" s="32">
        <f t="shared" si="201"/>
        <v>1.0499321976070963</v>
      </c>
      <c r="BF165" s="59" t="str">
        <f t="shared" si="202"/>
        <v>-0.638336491677893+0.39768516204118i</v>
      </c>
      <c r="BG165" s="50">
        <f t="shared" si="203"/>
        <v>-2.4746989491846509</v>
      </c>
      <c r="BH165" s="61">
        <f t="shared" si="204"/>
        <v>148.07699500613964</v>
      </c>
      <c r="BI165" s="59" t="str">
        <f t="shared" si="205"/>
        <v>-0.259310879262111+7.91705956802301i</v>
      </c>
      <c r="BJ165" s="64">
        <f t="shared" si="206"/>
        <v>17.975934810778519</v>
      </c>
      <c r="BK165" s="61">
        <f t="shared" si="207"/>
        <v>91.87596282466555</v>
      </c>
      <c r="BL165" s="59" t="str">
        <f t="shared" si="158"/>
        <v>-3.13674642718844+47.3158015224415i</v>
      </c>
      <c r="BM165" s="64">
        <f t="shared" si="208"/>
        <v>33.519168903055899</v>
      </c>
      <c r="BN165" s="61">
        <f t="shared" si="159"/>
        <v>93.792807737277641</v>
      </c>
      <c r="BO165" s="50">
        <f t="shared" si="209"/>
        <v>17.975934810778519</v>
      </c>
      <c r="BP165" s="61">
        <f t="shared" si="210"/>
        <v>91.87596282466555</v>
      </c>
    </row>
    <row r="166" spans="14:68" x14ac:dyDescent="0.25">
      <c r="N166" s="11">
        <v>48</v>
      </c>
      <c r="O166" s="51">
        <f t="shared" si="160"/>
        <v>301.99517204020168</v>
      </c>
      <c r="P166" s="49" t="str">
        <f t="shared" si="161"/>
        <v>37.1583961085025</v>
      </c>
      <c r="Q166" s="18" t="str">
        <f t="shared" si="162"/>
        <v>1+1.4872727570296i</v>
      </c>
      <c r="R166" s="18">
        <f t="shared" si="174"/>
        <v>1.7921998364586544</v>
      </c>
      <c r="S166" s="18">
        <f t="shared" si="175"/>
        <v>0.97885452947684437</v>
      </c>
      <c r="T166" s="18" t="str">
        <f t="shared" si="163"/>
        <v>1+0.00170774246502195i</v>
      </c>
      <c r="U166" s="18">
        <f t="shared" si="176"/>
        <v>1.0000014581911003</v>
      </c>
      <c r="V166" s="18">
        <f t="shared" si="177"/>
        <v>1.7077408048804018E-3</v>
      </c>
      <c r="W166" s="32" t="str">
        <f t="shared" si="164"/>
        <v>1-0.0149476879533894i</v>
      </c>
      <c r="X166" s="18">
        <f t="shared" si="178"/>
        <v>1.0001117104479638</v>
      </c>
      <c r="Y166" s="18">
        <f t="shared" si="179"/>
        <v>-1.4946574831820648E-2</v>
      </c>
      <c r="Z166" s="32" t="str">
        <f t="shared" si="165"/>
        <v>0.999997719972902+0.00359890912073145i</v>
      </c>
      <c r="AA166" s="18">
        <f t="shared" si="180"/>
        <v>1.0000041960401274</v>
      </c>
      <c r="AB166" s="18">
        <f t="shared" si="181"/>
        <v>3.598901788508458E-3</v>
      </c>
      <c r="AC166" s="32" t="str">
        <f>IMDIV(IMSUM(COMPLEX(0,2*PI()*O166*Constants!$B$61*Constants!$B$62),COMPLEX(1,0)),IMSUM(COMPLEX(0,2*PI()*O166*Constants!$B$61*Constants!$B$62),COMPLEX(2,0)))</f>
        <v>0.500007200845249+0.00189746430071502i</v>
      </c>
      <c r="AD166" s="18">
        <f t="shared" si="182"/>
        <v>0.50001080115120877</v>
      </c>
      <c r="AE166" s="18">
        <f t="shared" si="183"/>
        <v>3.7948557322410596E-3</v>
      </c>
      <c r="AF166" s="66" t="str">
        <f t="shared" si="184"/>
        <v>5.67238901099923-8.67874066635932i</v>
      </c>
      <c r="AG166" s="64">
        <f t="shared" si="185"/>
        <v>20.313944722539453</v>
      </c>
      <c r="AH166" s="61">
        <f t="shared" si="186"/>
        <v>-56.83153527775022</v>
      </c>
      <c r="AI166" s="50" t="str">
        <f t="shared" si="166"/>
        <v>107.538871525172</v>
      </c>
      <c r="AJ166" s="50" t="str">
        <f t="shared" si="167"/>
        <v>1+1.41387769019675i</v>
      </c>
      <c r="AK166" s="50">
        <f t="shared" si="187"/>
        <v>1.7317765799421405</v>
      </c>
      <c r="AL166" s="50">
        <f t="shared" si="188"/>
        <v>0.95520464300365515</v>
      </c>
      <c r="AM166" s="50" t="str">
        <f t="shared" si="168"/>
        <v>1+0.00170774246502195i</v>
      </c>
      <c r="AN166" s="50">
        <f t="shared" si="189"/>
        <v>1.0000014581911003</v>
      </c>
      <c r="AO166" s="50">
        <f t="shared" si="190"/>
        <v>1.7077408048804018E-3</v>
      </c>
      <c r="AP166" s="50" t="str">
        <f t="shared" si="169"/>
        <v>1-0.00491005558365407i</v>
      </c>
      <c r="AQ166" s="50">
        <f t="shared" si="191"/>
        <v>1.0000120542502648</v>
      </c>
      <c r="AR166" s="50">
        <f t="shared" si="192"/>
        <v>-4.9100161259611336E-3</v>
      </c>
      <c r="AS166" s="59" t="str">
        <f t="shared" si="193"/>
        <v>35.6955927268218-50.8135753338506i</v>
      </c>
      <c r="AT166" s="50">
        <f t="shared" si="194"/>
        <v>35.861589622164409</v>
      </c>
      <c r="AU166" s="61">
        <f t="shared" si="195"/>
        <v>-54.912671476146727</v>
      </c>
      <c r="AV166" s="32" t="str">
        <f t="shared" si="170"/>
        <v>-0.0000333333333333333</v>
      </c>
      <c r="AW166" s="32" t="str">
        <f t="shared" si="171"/>
        <v>0.000091079598134504i</v>
      </c>
      <c r="AX166" s="32">
        <f t="shared" si="196"/>
        <v>9.1079598134504003E-5</v>
      </c>
      <c r="AY166" s="32">
        <f t="shared" si="197"/>
        <v>1.5707963267948966</v>
      </c>
      <c r="AZ166" s="32" t="str">
        <f t="shared" si="172"/>
        <v>1+0.0371592110444592i</v>
      </c>
      <c r="BA166" s="32">
        <f t="shared" si="198"/>
        <v>1.0006901653186397</v>
      </c>
      <c r="BB166" s="32">
        <f t="shared" si="199"/>
        <v>3.7142121967775985E-2</v>
      </c>
      <c r="BC166" s="32" t="str">
        <f t="shared" si="173"/>
        <v>1+1.78364213013404i</v>
      </c>
      <c r="BD166" s="32">
        <f t="shared" si="200"/>
        <v>2.0448421084252684</v>
      </c>
      <c r="BE166" s="32">
        <f t="shared" si="201"/>
        <v>1.0598128750905174</v>
      </c>
      <c r="BF166" s="59" t="str">
        <f t="shared" si="202"/>
        <v>-0.638296875968383+0.389698849958663i</v>
      </c>
      <c r="BG166" s="50">
        <f t="shared" si="203"/>
        <v>-2.523644245491139</v>
      </c>
      <c r="BH166" s="61">
        <f t="shared" si="204"/>
        <v>148.59471798539857</v>
      </c>
      <c r="BI166" s="59" t="str">
        <f t="shared" si="205"/>
        <v>-0.238572928228487+7.75013652878147i</v>
      </c>
      <c r="BJ166" s="64">
        <f t="shared" si="206"/>
        <v>17.790300477048309</v>
      </c>
      <c r="BK166" s="61">
        <f t="shared" si="207"/>
        <v>91.763182707648369</v>
      </c>
      <c r="BL166" s="59" t="str">
        <f t="shared" si="158"/>
        <v>-2.98239345348063+46.3446778266162i</v>
      </c>
      <c r="BM166" s="64">
        <f t="shared" si="208"/>
        <v>33.337945376673268</v>
      </c>
      <c r="BN166" s="61">
        <f t="shared" si="159"/>
        <v>93.682046509251862</v>
      </c>
      <c r="BO166" s="50">
        <f t="shared" si="209"/>
        <v>17.790300477048309</v>
      </c>
      <c r="BP166" s="61">
        <f t="shared" si="210"/>
        <v>91.763182707648369</v>
      </c>
    </row>
    <row r="167" spans="14:68" x14ac:dyDescent="0.25">
      <c r="N167" s="11">
        <v>49</v>
      </c>
      <c r="O167" s="51">
        <f t="shared" si="160"/>
        <v>309.02954325135937</v>
      </c>
      <c r="P167" s="49" t="str">
        <f t="shared" si="161"/>
        <v>37.1583961085025</v>
      </c>
      <c r="Q167" s="18" t="str">
        <f t="shared" si="162"/>
        <v>1+1.52191578987846i</v>
      </c>
      <c r="R167" s="18">
        <f t="shared" si="174"/>
        <v>1.8210512544904873</v>
      </c>
      <c r="S167" s="18">
        <f t="shared" si="175"/>
        <v>0.98946941851408998</v>
      </c>
      <c r="T167" s="18" t="str">
        <f t="shared" si="163"/>
        <v>1+0.00174752089707723i</v>
      </c>
      <c r="U167" s="18">
        <f t="shared" si="176"/>
        <v>1.0000015269134772</v>
      </c>
      <c r="V167" s="18">
        <f t="shared" si="177"/>
        <v>1.7475191182036586E-3</v>
      </c>
      <c r="W167" s="32" t="str">
        <f t="shared" si="164"/>
        <v>1-0.0152958643335029i</v>
      </c>
      <c r="X167" s="18">
        <f t="shared" si="178"/>
        <v>1.0001169748912919</v>
      </c>
      <c r="Y167" s="18">
        <f t="shared" si="179"/>
        <v>-1.5294671609787194E-2</v>
      </c>
      <c r="Z167" s="32" t="str">
        <f t="shared" si="165"/>
        <v>0.999997612518535+0.00368273848309978i</v>
      </c>
      <c r="AA167" s="18">
        <f t="shared" si="180"/>
        <v>1.0000043937930998</v>
      </c>
      <c r="AB167" s="18">
        <f t="shared" si="181"/>
        <v>3.6827306264829705E-3</v>
      </c>
      <c r="AC167" s="32" t="str">
        <f>IMDIV(IMSUM(COMPLEX(0,2*PI()*O167*Constants!$B$61*Constants!$B$62),COMPLEX(1,0)),IMSUM(COMPLEX(0,2*PI()*O167*Constants!$B$61*Constants!$B$62),COMPLEX(2,0)))</f>
        <v>0.500007540205513+0.0019416606041598i</v>
      </c>
      <c r="AD167" s="18">
        <f t="shared" si="182"/>
        <v>0.50001131018034928</v>
      </c>
      <c r="AE167" s="18">
        <f t="shared" si="183"/>
        <v>3.8832431277835257E-3</v>
      </c>
      <c r="AF167" s="66" t="str">
        <f t="shared" si="184"/>
        <v>5.48896383688001-8.60173714336543i</v>
      </c>
      <c r="AG167" s="64">
        <f t="shared" si="185"/>
        <v>20.17528344415927</v>
      </c>
      <c r="AH167" s="61">
        <f t="shared" si="186"/>
        <v>-57.457127780244797</v>
      </c>
      <c r="AI167" s="50" t="str">
        <f t="shared" si="166"/>
        <v>107.538871525172</v>
      </c>
      <c r="AJ167" s="50" t="str">
        <f t="shared" si="167"/>
        <v>1+1.44681113232043i</v>
      </c>
      <c r="AK167" s="50">
        <f t="shared" si="187"/>
        <v>1.7587673105349455</v>
      </c>
      <c r="AL167" s="50">
        <f t="shared" si="188"/>
        <v>0.96601762152872706</v>
      </c>
      <c r="AM167" s="50" t="str">
        <f t="shared" si="168"/>
        <v>1+0.00174752089707723i</v>
      </c>
      <c r="AN167" s="50">
        <f t="shared" si="189"/>
        <v>1.0000015269134772</v>
      </c>
      <c r="AO167" s="50">
        <f t="shared" si="190"/>
        <v>1.7475191182036586E-3</v>
      </c>
      <c r="AP167" s="50" t="str">
        <f t="shared" si="169"/>
        <v>1-0.00502442547046219i</v>
      </c>
      <c r="AQ167" s="50">
        <f t="shared" si="191"/>
        <v>1.0000126223459924</v>
      </c>
      <c r="AR167" s="50">
        <f t="shared" si="192"/>
        <v>-5.0243831908112907E-3</v>
      </c>
      <c r="AS167" s="59" t="str">
        <f t="shared" si="193"/>
        <v>34.6009977906149-50.4135034127738i</v>
      </c>
      <c r="AT167" s="50">
        <f t="shared" si="194"/>
        <v>35.727264695362976</v>
      </c>
      <c r="AU167" s="61">
        <f t="shared" si="195"/>
        <v>-55.536483130260656</v>
      </c>
      <c r="AV167" s="32" t="str">
        <f t="shared" si="170"/>
        <v>-0.0000333333333333333</v>
      </c>
      <c r="AW167" s="32" t="str">
        <f t="shared" si="171"/>
        <v>0.0000932011145107853i</v>
      </c>
      <c r="AX167" s="32">
        <f t="shared" si="196"/>
        <v>9.3201114510785298E-5</v>
      </c>
      <c r="AY167" s="32">
        <f t="shared" si="197"/>
        <v>1.5707963267948966</v>
      </c>
      <c r="AZ167" s="32" t="str">
        <f t="shared" si="172"/>
        <v>1+0.0380247602604767i</v>
      </c>
      <c r="BA167" s="32">
        <f t="shared" si="198"/>
        <v>1.0007226800631965</v>
      </c>
      <c r="BB167" s="32">
        <f t="shared" si="199"/>
        <v>3.8006449699020263E-2</v>
      </c>
      <c r="BC167" s="32" t="str">
        <f t="shared" si="173"/>
        <v>1+1.82518849250288i</v>
      </c>
      <c r="BD167" s="32">
        <f t="shared" si="200"/>
        <v>2.0811806824888932</v>
      </c>
      <c r="BE167" s="32">
        <f t="shared" si="201"/>
        <v>1.0695755839394756</v>
      </c>
      <c r="BF167" s="59" t="str">
        <f t="shared" si="202"/>
        <v>-0.638255398497899+0.381919022773486i</v>
      </c>
      <c r="BG167" s="50">
        <f t="shared" si="203"/>
        <v>-2.5709263387977166</v>
      </c>
      <c r="BH167" s="61">
        <f t="shared" si="204"/>
        <v>149.1045576679422</v>
      </c>
      <c r="BI167" s="59" t="str">
        <f t="shared" si="205"/>
        <v>-0.218193757099885+7.5864448728331i</v>
      </c>
      <c r="BJ167" s="64">
        <f t="shared" si="206"/>
        <v>17.604357105361558</v>
      </c>
      <c r="BK167" s="61">
        <f t="shared" si="207"/>
        <v>91.647429887697399</v>
      </c>
      <c r="BL167" s="59" t="str">
        <f t="shared" si="158"/>
        <v>-2.83039767527946+45.3914699735743i</v>
      </c>
      <c r="BM167" s="64">
        <f t="shared" si="208"/>
        <v>33.156338356565257</v>
      </c>
      <c r="BN167" s="61">
        <f t="shared" si="159"/>
        <v>93.568074537681539</v>
      </c>
      <c r="BO167" s="50">
        <f t="shared" si="209"/>
        <v>17.604357105361558</v>
      </c>
      <c r="BP167" s="61">
        <f t="shared" si="210"/>
        <v>91.647429887697399</v>
      </c>
    </row>
    <row r="168" spans="14:68" x14ac:dyDescent="0.25">
      <c r="N168" s="11">
        <v>50</v>
      </c>
      <c r="O168" s="51">
        <f t="shared" si="160"/>
        <v>316.22776601683825</v>
      </c>
      <c r="P168" s="49" t="str">
        <f t="shared" si="161"/>
        <v>37.1583961085025</v>
      </c>
      <c r="Q168" s="18" t="str">
        <f t="shared" si="162"/>
        <v>1+1.55736576262406i</v>
      </c>
      <c r="R168" s="18">
        <f t="shared" si="174"/>
        <v>1.8507804079883761</v>
      </c>
      <c r="S168" s="18">
        <f t="shared" si="175"/>
        <v>0.99998774993406803</v>
      </c>
      <c r="T168" s="18" t="str">
        <f t="shared" si="163"/>
        <v>1+0.0017882258878433i</v>
      </c>
      <c r="U168" s="18">
        <f t="shared" si="176"/>
        <v>1.0000015988746347</v>
      </c>
      <c r="V168" s="18">
        <f t="shared" si="177"/>
        <v>1.7882239817460911E-3</v>
      </c>
      <c r="W168" s="32" t="str">
        <f t="shared" si="164"/>
        <v>1-0.0156521507833506i</v>
      </c>
      <c r="X168" s="18">
        <f t="shared" si="178"/>
        <v>1.0001224874104895</v>
      </c>
      <c r="Y168" s="18">
        <f t="shared" si="179"/>
        <v>-1.5650872765316889E-2</v>
      </c>
      <c r="Z168" s="32" t="str">
        <f t="shared" si="165"/>
        <v>0.9999975+0.00376852048215865i</v>
      </c>
      <c r="AA168" s="18">
        <f t="shared" si="180"/>
        <v>1.0000046008658534</v>
      </c>
      <c r="AB168" s="18">
        <f t="shared" si="181"/>
        <v>3.7685120636439451E-3</v>
      </c>
      <c r="AC168" s="32" t="str">
        <f>IMDIV(IMSUM(COMPLEX(0,2*PI()*O168*Constants!$B$61*Constants!$B$62),COMPLEX(1,0)),IMSUM(COMPLEX(0,2*PI()*O168*Constants!$B$61*Constants!$B$62),COMPLEX(2,0)))</f>
        <v>0.500007895558839+0.00198688627750874i</v>
      </c>
      <c r="AD168" s="18">
        <f t="shared" si="182"/>
        <v>0.5000118431979973</v>
      </c>
      <c r="AE168" s="18">
        <f t="shared" si="183"/>
        <v>3.973688890447611E-3</v>
      </c>
      <c r="AF168" s="66" t="str">
        <f t="shared" si="184"/>
        <v>5.30886037882706-8.5216107092699i</v>
      </c>
      <c r="AG168" s="64">
        <f t="shared" si="185"/>
        <v>20.03468492388243</v>
      </c>
      <c r="AH168" s="61">
        <f t="shared" si="186"/>
        <v>-58.07759313794665</v>
      </c>
      <c r="AI168" s="50" t="str">
        <f t="shared" si="166"/>
        <v>107.538871525172</v>
      </c>
      <c r="AJ168" s="50" t="str">
        <f t="shared" si="167"/>
        <v>1+1.48051169285728i</v>
      </c>
      <c r="AK168" s="50">
        <f t="shared" si="187"/>
        <v>1.7865930909659111</v>
      </c>
      <c r="AL168" s="50">
        <f t="shared" si="188"/>
        <v>0.97674297010490574</v>
      </c>
      <c r="AM168" s="50" t="str">
        <f t="shared" si="168"/>
        <v>1+0.0017882258878433i</v>
      </c>
      <c r="AN168" s="50">
        <f t="shared" si="189"/>
        <v>1.0000015988746347</v>
      </c>
      <c r="AO168" s="50">
        <f t="shared" si="190"/>
        <v>1.7882239817460911E-3</v>
      </c>
      <c r="AP168" s="50" t="str">
        <f t="shared" si="169"/>
        <v>1-0.00514145937416088i</v>
      </c>
      <c r="AQ168" s="50">
        <f t="shared" si="191"/>
        <v>1.0000132172149008</v>
      </c>
      <c r="AR168" s="50">
        <f t="shared" si="192"/>
        <v>-5.141414070731062E-3</v>
      </c>
      <c r="AS168" s="59" t="str">
        <f t="shared" si="193"/>
        <v>33.5240717997483-49.9933832367934i</v>
      </c>
      <c r="AT168" s="50">
        <f t="shared" si="194"/>
        <v>35.590925183368697</v>
      </c>
      <c r="AU168" s="61">
        <f t="shared" si="195"/>
        <v>-56.15537349608779</v>
      </c>
      <c r="AV168" s="32" t="str">
        <f t="shared" si="170"/>
        <v>-0.0000333333333333333</v>
      </c>
      <c r="AW168" s="32" t="str">
        <f t="shared" si="171"/>
        <v>0.0000953720473516427i</v>
      </c>
      <c r="AX168" s="32">
        <f t="shared" si="196"/>
        <v>9.5372047351642702E-5</v>
      </c>
      <c r="AY168" s="32">
        <f t="shared" si="197"/>
        <v>1.5707963267948966</v>
      </c>
      <c r="AZ168" s="32" t="str">
        <f t="shared" si="172"/>
        <v>1+0.0389104707077014i</v>
      </c>
      <c r="BA168" s="32">
        <f t="shared" si="198"/>
        <v>1.0007567260481913</v>
      </c>
      <c r="BB168" s="32">
        <f t="shared" si="199"/>
        <v>3.8890851388788873E-2</v>
      </c>
      <c r="BC168" s="32" t="str">
        <f t="shared" si="173"/>
        <v>1+1.86770259396967i</v>
      </c>
      <c r="BD168" s="32">
        <f t="shared" si="200"/>
        <v>2.1185638955483581</v>
      </c>
      <c r="BE168" s="32">
        <f t="shared" si="201"/>
        <v>1.0792180558356204</v>
      </c>
      <c r="BF168" s="59" t="str">
        <f t="shared" si="202"/>
        <v>-0.638211972031659+0.374341545635313i</v>
      </c>
      <c r="BG168" s="50">
        <f t="shared" si="203"/>
        <v>-2.6165862266094502</v>
      </c>
      <c r="BH168" s="61">
        <f t="shared" si="204"/>
        <v>149.60635812744695</v>
      </c>
      <c r="BI168" s="59" t="str">
        <f t="shared" si="205"/>
        <v>-0.198185327401428+7.42592097542144i</v>
      </c>
      <c r="BJ168" s="64">
        <f t="shared" si="206"/>
        <v>17.418098697272974</v>
      </c>
      <c r="BK168" s="61">
        <f t="shared" si="207"/>
        <v>91.528764989500303</v>
      </c>
      <c r="BL168" s="59" t="str">
        <f t="shared" si="158"/>
        <v>-2.6808636214485+44.4558285575954i</v>
      </c>
      <c r="BM168" s="64">
        <f t="shared" si="208"/>
        <v>32.974338956759247</v>
      </c>
      <c r="BN168" s="61">
        <f t="shared" si="159"/>
        <v>93.450984631359148</v>
      </c>
      <c r="BO168" s="50">
        <f t="shared" si="209"/>
        <v>17.418098697272974</v>
      </c>
      <c r="BP168" s="61">
        <f t="shared" si="210"/>
        <v>91.528764989500303</v>
      </c>
    </row>
    <row r="169" spans="14:68" x14ac:dyDescent="0.25">
      <c r="N169" s="11">
        <v>51</v>
      </c>
      <c r="O169" s="51">
        <f t="shared" si="160"/>
        <v>323.59365692962825</v>
      </c>
      <c r="P169" s="49" t="str">
        <f t="shared" si="161"/>
        <v>37.1583961085025</v>
      </c>
      <c r="Q169" s="18" t="str">
        <f t="shared" si="162"/>
        <v>1+1.59364147131117i</v>
      </c>
      <c r="R169" s="18">
        <f t="shared" si="174"/>
        <v>1.881407223086706</v>
      </c>
      <c r="S169" s="18">
        <f t="shared" si="175"/>
        <v>1.0104057909086439</v>
      </c>
      <c r="T169" s="18" t="str">
        <f t="shared" si="163"/>
        <v>1+0.00182987901964508i</v>
      </c>
      <c r="U169" s="18">
        <f t="shared" si="176"/>
        <v>1.0000016742272118</v>
      </c>
      <c r="V169" s="18">
        <f t="shared" si="177"/>
        <v>1.8298769772253076E-3</v>
      </c>
      <c r="W169" s="32" t="str">
        <f t="shared" si="164"/>
        <v>1-0.0160167362107243i</v>
      </c>
      <c r="X169" s="18">
        <f t="shared" si="178"/>
        <v>1.0001282596941474</v>
      </c>
      <c r="Y169" s="18">
        <f t="shared" si="179"/>
        <v>-1.6015366799213546E-2</v>
      </c>
      <c r="Z169" s="32" t="str">
        <f t="shared" si="165"/>
        <v>0.99999738217863+0.00385630060065943i</v>
      </c>
      <c r="AA169" s="18">
        <f t="shared" si="180"/>
        <v>1.0000048176976126</v>
      </c>
      <c r="AB169" s="18">
        <f t="shared" si="181"/>
        <v>3.8562915800605109E-3</v>
      </c>
      <c r="AC169" s="32" t="str">
        <f>IMDIV(IMSUM(COMPLEX(0,2*PI()*O169*Constants!$B$61*Constants!$B$62),COMPLEX(1,0)),IMSUM(COMPLEX(0,2*PI()*O169*Constants!$B$61*Constants!$B$62),COMPLEX(2,0)))</f>
        <v>0.50000826765891+0.00203316529112657i</v>
      </c>
      <c r="AD169" s="18">
        <f t="shared" si="182"/>
        <v>0.50001240133457225</v>
      </c>
      <c r="AE169" s="18">
        <f t="shared" si="183"/>
        <v>4.0662409343115513E-3</v>
      </c>
      <c r="AF169" s="66" t="str">
        <f t="shared" si="184"/>
        <v>5.13217491917578-8.4385315976682i</v>
      </c>
      <c r="AG169" s="64">
        <f t="shared" si="185"/>
        <v>19.892185250944451</v>
      </c>
      <c r="AH169" s="61">
        <f t="shared" si="186"/>
        <v>-58.692726899858883</v>
      </c>
      <c r="AI169" s="50" t="str">
        <f t="shared" si="166"/>
        <v>107.538871525172</v>
      </c>
      <c r="AJ169" s="50" t="str">
        <f t="shared" si="167"/>
        <v>1+1.51499724029057i</v>
      </c>
      <c r="AK169" s="50">
        <f t="shared" si="187"/>
        <v>1.8152731579814765</v>
      </c>
      <c r="AL169" s="50">
        <f t="shared" si="188"/>
        <v>0.98737650530111254</v>
      </c>
      <c r="AM169" s="50" t="str">
        <f t="shared" si="168"/>
        <v>1+0.00182987901964508i</v>
      </c>
      <c r="AN169" s="50">
        <f t="shared" si="189"/>
        <v>1.0000016742272118</v>
      </c>
      <c r="AO169" s="50">
        <f t="shared" si="190"/>
        <v>1.8298769772253076E-3</v>
      </c>
      <c r="AP169" s="50" t="str">
        <f t="shared" si="169"/>
        <v>1-0.00526121934767502i</v>
      </c>
      <c r="AQ169" s="50">
        <f t="shared" si="191"/>
        <v>1.0000138401187377</v>
      </c>
      <c r="AR169" s="50">
        <f t="shared" si="192"/>
        <v>-5.2611708042116616E-3</v>
      </c>
      <c r="AS169" s="59" t="str">
        <f t="shared" si="193"/>
        <v>32.4655040549091-49.5541515145248i</v>
      </c>
      <c r="AT169" s="50">
        <f t="shared" si="194"/>
        <v>35.452604533925452</v>
      </c>
      <c r="AU169" s="61">
        <f t="shared" si="195"/>
        <v>-56.769105198685942</v>
      </c>
      <c r="AV169" s="32" t="str">
        <f t="shared" si="170"/>
        <v>-0.0000333333333333333</v>
      </c>
      <c r="AW169" s="32" t="str">
        <f t="shared" si="171"/>
        <v>0.0000975935477144041i</v>
      </c>
      <c r="AX169" s="32">
        <f t="shared" si="196"/>
        <v>9.7593547714404103E-5</v>
      </c>
      <c r="AY169" s="32">
        <f t="shared" si="197"/>
        <v>1.5707963267948966</v>
      </c>
      <c r="AZ169" s="32" t="str">
        <f t="shared" si="172"/>
        <v>1+0.0398168120015364i</v>
      </c>
      <c r="BA169" s="32">
        <f t="shared" si="198"/>
        <v>1.0007923753296513</v>
      </c>
      <c r="BB169" s="32">
        <f t="shared" si="199"/>
        <v>3.979579042141284E-2</v>
      </c>
      <c r="BC169" s="32" t="str">
        <f t="shared" si="173"/>
        <v>1+1.91120697607375i</v>
      </c>
      <c r="BD169" s="32">
        <f t="shared" si="200"/>
        <v>2.157014627996984</v>
      </c>
      <c r="BE169" s="32">
        <f t="shared" si="201"/>
        <v>1.0887382303150692</v>
      </c>
      <c r="BF169" s="59" t="str">
        <f t="shared" si="202"/>
        <v>-0.638166505272396+0.366962390279196i</v>
      </c>
      <c r="BG169" s="50">
        <f t="shared" si="203"/>
        <v>-2.660665161990833</v>
      </c>
      <c r="BH169" s="61">
        <f t="shared" si="204"/>
        <v>150.09997475806142</v>
      </c>
      <c r="BI169" s="59" t="str">
        <f t="shared" si="205"/>
        <v>-0.178558407090203+7.26850339498629i</v>
      </c>
      <c r="BJ169" s="64">
        <f t="shared" si="206"/>
        <v>17.231520088953619</v>
      </c>
      <c r="BK169" s="61">
        <f t="shared" si="207"/>
        <v>91.407247858202524</v>
      </c>
      <c r="BL169" s="59" t="str">
        <f t="shared" si="158"/>
        <v>-2.53388737660068+43.5374186633715i</v>
      </c>
      <c r="BM169" s="64">
        <f t="shared" si="208"/>
        <v>32.791939371934625</v>
      </c>
      <c r="BN169" s="61">
        <f t="shared" si="159"/>
        <v>93.330869559375472</v>
      </c>
      <c r="BO169" s="50">
        <f t="shared" si="209"/>
        <v>17.231520088953619</v>
      </c>
      <c r="BP169" s="61">
        <f t="shared" si="210"/>
        <v>91.407247858202524</v>
      </c>
    </row>
    <row r="170" spans="14:68" x14ac:dyDescent="0.25">
      <c r="N170" s="11">
        <v>52</v>
      </c>
      <c r="O170" s="51">
        <f t="shared" si="160"/>
        <v>331.13112148259137</v>
      </c>
      <c r="P170" s="49" t="str">
        <f t="shared" si="161"/>
        <v>37.1583961085025</v>
      </c>
      <c r="Q170" s="18" t="str">
        <f t="shared" si="162"/>
        <v>1+1.63076214980072i</v>
      </c>
      <c r="R170" s="18">
        <f t="shared" si="174"/>
        <v>1.9129519568516786</v>
      </c>
      <c r="S170" s="18">
        <f t="shared" si="175"/>
        <v>1.0207200191099171</v>
      </c>
      <c r="T170" s="18" t="str">
        <f t="shared" si="163"/>
        <v>1+0.00187250237752439i</v>
      </c>
      <c r="U170" s="18">
        <f t="shared" si="176"/>
        <v>1.0000017531310401</v>
      </c>
      <c r="V170" s="18">
        <f t="shared" si="177"/>
        <v>1.8725001890323818E-3</v>
      </c>
      <c r="W170" s="32" t="str">
        <f t="shared" si="164"/>
        <v>1-0.0163898139236437i</v>
      </c>
      <c r="X170" s="18">
        <f t="shared" si="178"/>
        <v>1.0001343039814461</v>
      </c>
      <c r="Y170" s="18">
        <f t="shared" si="179"/>
        <v>-1.6388346583415064E-2</v>
      </c>
      <c r="Z170" s="32" t="str">
        <f t="shared" si="165"/>
        <v>0.99999725880451+0.00394612538078287i</v>
      </c>
      <c r="AA170" s="18">
        <f t="shared" si="180"/>
        <v>1.0000050447483029</v>
      </c>
      <c r="AB170" s="18">
        <f t="shared" si="181"/>
        <v>3.9461157150393481E-3</v>
      </c>
      <c r="AC170" s="32" t="str">
        <f>IMDIV(IMSUM(COMPLEX(0,2*PI()*O170*Constants!$B$61*Constants!$B$62),COMPLEX(1,0)),IMSUM(COMPLEX(0,2*PI()*O170*Constants!$B$61*Constants!$B$62),COMPLEX(2,0)))</f>
        <v>0.500008657294924+0.00208052217323748i</v>
      </c>
      <c r="AD170" s="18">
        <f t="shared" si="182"/>
        <v>0.50001298577375575</v>
      </c>
      <c r="AE170" s="18">
        <f t="shared" si="183"/>
        <v>4.1609482872668078E-3</v>
      </c>
      <c r="AF170" s="66" t="str">
        <f t="shared" si="184"/>
        <v>4.95899301566535-8.35267213272403i</v>
      </c>
      <c r="AG170" s="64">
        <f t="shared" si="185"/>
        <v>19.747821490359179</v>
      </c>
      <c r="AH170" s="61">
        <f t="shared" si="186"/>
        <v>-59.302336894278724</v>
      </c>
      <c r="AI170" s="50" t="str">
        <f t="shared" si="166"/>
        <v>107.538871525172</v>
      </c>
      <c r="AJ170" s="50" t="str">
        <f t="shared" si="167"/>
        <v>1+1.55028605931403i</v>
      </c>
      <c r="AK170" s="50">
        <f t="shared" si="187"/>
        <v>1.8448270557706554</v>
      </c>
      <c r="AL170" s="50">
        <f t="shared" si="188"/>
        <v>0.99791424622530922</v>
      </c>
      <c r="AM170" s="50" t="str">
        <f t="shared" si="168"/>
        <v>1+0.00187250237752439i</v>
      </c>
      <c r="AN170" s="50">
        <f t="shared" si="189"/>
        <v>1.0000017531310401</v>
      </c>
      <c r="AO170" s="50">
        <f t="shared" si="190"/>
        <v>1.8725001890323818E-3</v>
      </c>
      <c r="AP170" s="50" t="str">
        <f t="shared" si="169"/>
        <v>1-0.00538376888932779i</v>
      </c>
      <c r="AQ170" s="50">
        <f t="shared" si="191"/>
        <v>1.0000144923787124</v>
      </c>
      <c r="AR170" s="50">
        <f t="shared" si="192"/>
        <v>-5.3837168741103711E-3</v>
      </c>
      <c r="AS170" s="59" t="str">
        <f t="shared" si="193"/>
        <v>31.4259223247744-49.0967669194868i</v>
      </c>
      <c r="AT170" s="50">
        <f t="shared" si="194"/>
        <v>35.312337417405828</v>
      </c>
      <c r="AU170" s="61">
        <f t="shared" si="195"/>
        <v>-57.377452521699951</v>
      </c>
      <c r="AV170" s="32" t="str">
        <f t="shared" si="170"/>
        <v>-0.0000333333333333333</v>
      </c>
      <c r="AW170" s="32" t="str">
        <f t="shared" si="171"/>
        <v>0.0000998667934679672i</v>
      </c>
      <c r="AX170" s="32">
        <f t="shared" si="196"/>
        <v>9.9866793467967202E-5</v>
      </c>
      <c r="AY170" s="32">
        <f t="shared" si="197"/>
        <v>1.5707963267948966</v>
      </c>
      <c r="AZ170" s="32" t="str">
        <f t="shared" si="172"/>
        <v>1+0.0407442646961326i</v>
      </c>
      <c r="BA170" s="32">
        <f t="shared" si="198"/>
        <v>1.0008297033489906</v>
      </c>
      <c r="BB170" s="32">
        <f t="shared" si="199"/>
        <v>4.0721740675621246E-2</v>
      </c>
      <c r="BC170" s="32" t="str">
        <f t="shared" si="173"/>
        <v>1+1.95572470541437i</v>
      </c>
      <c r="BD170" s="32">
        <f t="shared" si="200"/>
        <v>2.1965561962690883</v>
      </c>
      <c r="BE170" s="32">
        <f t="shared" si="201"/>
        <v>1.0981342514733194</v>
      </c>
      <c r="BF170" s="59" t="str">
        <f t="shared" si="202"/>
        <v>-0.638118902673606+0.359777632839843i</v>
      </c>
      <c r="BG170" s="50">
        <f t="shared" si="203"/>
        <v>-2.7032045597344725</v>
      </c>
      <c r="BH170" s="61">
        <f t="shared" si="204"/>
        <v>150.58527407303967</v>
      </c>
      <c r="BI170" s="59" t="str">
        <f t="shared" si="205"/>
        <v>-0.159322573723676+7.11413274417166i</v>
      </c>
      <c r="BJ170" s="64">
        <f t="shared" si="206"/>
        <v>17.044616930624706</v>
      </c>
      <c r="BK170" s="61">
        <f t="shared" si="207"/>
        <v>91.282937178760946</v>
      </c>
      <c r="BL170" s="59" t="str">
        <f t="shared" si="158"/>
        <v>-2.38955648700855+42.6359189753008i</v>
      </c>
      <c r="BM170" s="64">
        <f t="shared" si="208"/>
        <v>32.609132857671348</v>
      </c>
      <c r="BN170" s="61">
        <f t="shared" si="159"/>
        <v>93.207821551339705</v>
      </c>
      <c r="BO170" s="50">
        <f t="shared" si="209"/>
        <v>17.044616930624706</v>
      </c>
      <c r="BP170" s="61">
        <f t="shared" si="210"/>
        <v>91.282937178760946</v>
      </c>
    </row>
    <row r="171" spans="14:68" x14ac:dyDescent="0.25">
      <c r="N171" s="11">
        <v>53</v>
      </c>
      <c r="O171" s="51">
        <f t="shared" si="160"/>
        <v>338.84415613920277</v>
      </c>
      <c r="P171" s="49" t="str">
        <f t="shared" si="161"/>
        <v>37.1583961085025</v>
      </c>
      <c r="Q171" s="18" t="str">
        <f t="shared" si="162"/>
        <v>1+1.66874747996776i</v>
      </c>
      <c r="R171" s="18">
        <f t="shared" si="174"/>
        <v>1.9454352088668359</v>
      </c>
      <c r="S171" s="18">
        <f t="shared" si="175"/>
        <v>1.0309271248125327</v>
      </c>
      <c r="T171" s="18" t="str">
        <f t="shared" si="163"/>
        <v>1+0.00191611856094975i</v>
      </c>
      <c r="U171" s="18">
        <f t="shared" si="176"/>
        <v>1.0000018357534848</v>
      </c>
      <c r="V171" s="18">
        <f t="shared" si="177"/>
        <v>1.9161162159385464E-3</v>
      </c>
      <c r="W171" s="32" t="str">
        <f t="shared" si="164"/>
        <v>1-0.01677158173285i</v>
      </c>
      <c r="X171" s="18">
        <f t="shared" si="178"/>
        <v>1.0001406330880782</v>
      </c>
      <c r="Y171" s="18">
        <f t="shared" si="179"/>
        <v>-1.6770009461407921E-2</v>
      </c>
      <c r="Z171" s="32" t="str">
        <f t="shared" si="165"/>
        <v>0.999997129615946+0.00403804244881632i</v>
      </c>
      <c r="AA171" s="18">
        <f t="shared" si="180"/>
        <v>1.0000052824995225</v>
      </c>
      <c r="AB171" s="18">
        <f t="shared" si="181"/>
        <v>4.0380320917881964E-3</v>
      </c>
      <c r="AC171" s="32" t="str">
        <f>IMDIV(IMSUM(COMPLEX(0,2*PI()*O171*Constants!$B$61*Constants!$B$62),COMPLEX(1,0)),IMSUM(COMPLEX(0,2*PI()*O171*Constants!$B$61*Constants!$B$62),COMPLEX(2,0)))</f>
        <v>0.500009065293267+0.00212898202288486i</v>
      </c>
      <c r="AD171" s="18">
        <f t="shared" si="182"/>
        <v>0.50001359775500143</v>
      </c>
      <c r="AE171" s="18">
        <f t="shared" si="183"/>
        <v>4.2578611168012899E-3</v>
      </c>
      <c r="AF171" s="66" t="str">
        <f t="shared" si="184"/>
        <v>4.78938958995428-8.26420597491094i</v>
      </c>
      <c r="AG171" s="64">
        <f t="shared" si="185"/>
        <v>19.601631569155458</v>
      </c>
      <c r="AH171" s="61">
        <f t="shared" si="186"/>
        <v>-59.906243354270352</v>
      </c>
      <c r="AI171" s="50" t="str">
        <f t="shared" si="166"/>
        <v>107.538871525172</v>
      </c>
      <c r="AJ171" s="50" t="str">
        <f t="shared" si="167"/>
        <v>1+1.58639686052658i</v>
      </c>
      <c r="AK171" s="50">
        <f t="shared" si="187"/>
        <v>1.8752746463087986</v>
      </c>
      <c r="AL171" s="50">
        <f t="shared" si="188"/>
        <v>1.0083524187263735</v>
      </c>
      <c r="AM171" s="50" t="str">
        <f t="shared" si="168"/>
        <v>1+0.00191611856094975i</v>
      </c>
      <c r="AN171" s="50">
        <f t="shared" si="189"/>
        <v>1.0000018357534848</v>
      </c>
      <c r="AO171" s="50">
        <f t="shared" si="190"/>
        <v>1.9161162159385464E-3</v>
      </c>
      <c r="AP171" s="50" t="str">
        <f t="shared" si="169"/>
        <v>1-0.00550917297650824i</v>
      </c>
      <c r="AQ171" s="50">
        <f t="shared" si="191"/>
        <v>1.0000151753782964</v>
      </c>
      <c r="AR171" s="50">
        <f t="shared" si="192"/>
        <v>-5.5091172412442893E-3</v>
      </c>
      <c r="AS171" s="59" t="str">
        <f t="shared" si="193"/>
        <v>30.4058925565389-48.6222055103794i</v>
      </c>
      <c r="AT171" s="50">
        <f t="shared" si="194"/>
        <v>35.170159612332171</v>
      </c>
      <c r="AU171" s="61">
        <f t="shared" si="195"/>
        <v>-57.980201649365696</v>
      </c>
      <c r="AV171" s="32" t="str">
        <f t="shared" si="170"/>
        <v>-0.0000333333333333333</v>
      </c>
      <c r="AW171" s="32" t="str">
        <f t="shared" si="171"/>
        <v>0.00010219298991732i</v>
      </c>
      <c r="AX171" s="32">
        <f t="shared" si="196"/>
        <v>1.0219298991732E-4</v>
      </c>
      <c r="AY171" s="32">
        <f t="shared" si="197"/>
        <v>1.5707963267948966</v>
      </c>
      <c r="AZ171" s="32" t="str">
        <f t="shared" si="172"/>
        <v>1+0.0416933205391844i</v>
      </c>
      <c r="BA171" s="32">
        <f t="shared" si="198"/>
        <v>1.0008687890915486</v>
      </c>
      <c r="BB171" s="32">
        <f t="shared" si="199"/>
        <v>4.1669186747714707E-2</v>
      </c>
      <c r="BC171" s="32" t="str">
        <f t="shared" si="173"/>
        <v>1+2.00127938588085i</v>
      </c>
      <c r="BD171" s="32">
        <f t="shared" si="200"/>
        <v>2.237212368183144</v>
      </c>
      <c r="BE171" s="32">
        <f t="shared" si="201"/>
        <v>1.1074044640854042</v>
      </c>
      <c r="BF171" s="59" t="str">
        <f t="shared" si="202"/>
        <v>-0.638069064244389+0.352783451717766i</v>
      </c>
      <c r="BG171" s="50">
        <f t="shared" si="203"/>
        <v>-2.7442459068568805</v>
      </c>
      <c r="BH171" s="61">
        <f t="shared" si="204"/>
        <v>151.0621334696539</v>
      </c>
      <c r="BI171" s="59" t="str">
        <f t="shared" si="205"/>
        <v>-0.140486224428279+6.96275156429952i</v>
      </c>
      <c r="BJ171" s="64">
        <f t="shared" si="206"/>
        <v>16.857385662298579</v>
      </c>
      <c r="BK171" s="61">
        <f t="shared" si="207"/>
        <v>91.155890115383542</v>
      </c>
      <c r="BL171" s="59" t="str">
        <f t="shared" si="158"/>
        <v>-2.24794992098398+41.7510209001615i</v>
      </c>
      <c r="BM171" s="64">
        <f t="shared" si="208"/>
        <v>32.425913705475296</v>
      </c>
      <c r="BN171" s="61">
        <f t="shared" si="159"/>
        <v>93.08193182028819</v>
      </c>
      <c r="BO171" s="50">
        <f t="shared" si="209"/>
        <v>16.857385662298579</v>
      </c>
      <c r="BP171" s="61">
        <f t="shared" si="210"/>
        <v>91.155890115383542</v>
      </c>
    </row>
    <row r="172" spans="14:68" x14ac:dyDescent="0.25">
      <c r="N172" s="11">
        <v>54</v>
      </c>
      <c r="O172" s="51">
        <f t="shared" si="160"/>
        <v>346.73685045253183</v>
      </c>
      <c r="P172" s="49" t="str">
        <f t="shared" si="161"/>
        <v>37.1583961085025</v>
      </c>
      <c r="Q172" s="18" t="str">
        <f t="shared" si="162"/>
        <v>1+1.70761760213718i</v>
      </c>
      <c r="R172" s="18">
        <f t="shared" si="174"/>
        <v>1.9788779333573694</v>
      </c>
      <c r="S172" s="18">
        <f t="shared" si="175"/>
        <v>1.0410240120857144</v>
      </c>
      <c r="T172" s="18" t="str">
        <f t="shared" si="163"/>
        <v>1+0.00196075069579896i</v>
      </c>
      <c r="U172" s="18">
        <f t="shared" si="176"/>
        <v>1.000001922269798</v>
      </c>
      <c r="V172" s="18">
        <f t="shared" si="177"/>
        <v>1.9607481830744449E-3</v>
      </c>
      <c r="W172" s="32" t="str">
        <f t="shared" si="164"/>
        <v>1-0.0171622420566894i</v>
      </c>
      <c r="X172" s="18">
        <f t="shared" si="178"/>
        <v>1.0001472604333885</v>
      </c>
      <c r="Y172" s="18">
        <f t="shared" si="179"/>
        <v>-1.7160557350883076E-2</v>
      </c>
      <c r="Z172" s="32" t="str">
        <f t="shared" si="165"/>
        <v>0.999996994338913+0.00413210054040596i</v>
      </c>
      <c r="AA172" s="18">
        <f t="shared" si="180"/>
        <v>1.0000055314555696</v>
      </c>
      <c r="AB172" s="18">
        <f t="shared" si="181"/>
        <v>4.1320894426533604E-3</v>
      </c>
      <c r="AC172" s="32" t="str">
        <f>IMDIV(IMSUM(COMPLEX(0,2*PI()*O172*Constants!$B$61*Constants!$B$62),COMPLEX(1,0)),IMSUM(COMPLEX(0,2*PI()*O172*Constants!$B$61*Constants!$B$62),COMPLEX(2,0)))</f>
        <v>0.500009492519265+0.00217857052319051i</v>
      </c>
      <c r="AD172" s="18">
        <f t="shared" si="182"/>
        <v>0.50001423857616034</v>
      </c>
      <c r="AE172" s="18">
        <f t="shared" si="183"/>
        <v>4.357030756371805E-3</v>
      </c>
      <c r="AF172" s="66" t="str">
        <f t="shared" si="184"/>
        <v>4.62342907324791-8.17330739411589i</v>
      </c>
      <c r="AG172" s="64">
        <f t="shared" si="185"/>
        <v>19.453654163878923</v>
      </c>
      <c r="AH172" s="61">
        <f t="shared" si="186"/>
        <v>-60.504278991092988</v>
      </c>
      <c r="AI172" s="50" t="str">
        <f t="shared" si="166"/>
        <v>107.538871525172</v>
      </c>
      <c r="AJ172" s="50" t="str">
        <f t="shared" si="167"/>
        <v>1+1.62334879035304i</v>
      </c>
      <c r="AK172" s="50">
        <f t="shared" si="187"/>
        <v>1.9066361202758846</v>
      </c>
      <c r="AL172" s="50">
        <f t="shared" si="188"/>
        <v>1.0186874586267594</v>
      </c>
      <c r="AM172" s="50" t="str">
        <f t="shared" si="168"/>
        <v>1+0.00196075069579896i</v>
      </c>
      <c r="AN172" s="50">
        <f t="shared" si="189"/>
        <v>1.000001922269798</v>
      </c>
      <c r="AO172" s="50">
        <f t="shared" si="190"/>
        <v>1.9607481830744449E-3</v>
      </c>
      <c r="AP172" s="50" t="str">
        <f t="shared" si="169"/>
        <v>1-0.00563749810012339i</v>
      </c>
      <c r="AQ172" s="50">
        <f t="shared" si="191"/>
        <v>1.0000158905661594</v>
      </c>
      <c r="AR172" s="50">
        <f t="shared" si="192"/>
        <v>-5.6374383787633382E-3</v>
      </c>
      <c r="AS172" s="59" t="str">
        <f t="shared" si="193"/>
        <v>29.4059189616581-48.1314562423714i</v>
      </c>
      <c r="AT172" s="50">
        <f t="shared" si="194"/>
        <v>35.026107890711813</v>
      </c>
      <c r="AU172" s="61">
        <f t="shared" si="195"/>
        <v>-58.577150853011098</v>
      </c>
      <c r="AV172" s="32" t="str">
        <f t="shared" si="170"/>
        <v>-0.0000333333333333333</v>
      </c>
      <c r="AW172" s="32" t="str">
        <f t="shared" si="171"/>
        <v>0.000104573370442612i</v>
      </c>
      <c r="AX172" s="32">
        <f t="shared" si="196"/>
        <v>1.04573370442612E-4</v>
      </c>
      <c r="AY172" s="32">
        <f t="shared" si="197"/>
        <v>1.5707963267948966</v>
      </c>
      <c r="AZ172" s="32" t="str">
        <f t="shared" si="172"/>
        <v>1+0.0426644827326627i</v>
      </c>
      <c r="BA172" s="32">
        <f t="shared" si="198"/>
        <v>1.0009097152525024</v>
      </c>
      <c r="BB172" s="32">
        <f t="shared" si="199"/>
        <v>4.2638624178433483E-2</v>
      </c>
      <c r="BC172" s="32" t="str">
        <f t="shared" si="173"/>
        <v>1+2.04789517116781i</v>
      </c>
      <c r="BD172" s="32">
        <f t="shared" si="200"/>
        <v>2.2790073786831924</v>
      </c>
      <c r="BE172" s="32">
        <f t="shared" si="201"/>
        <v>1.1165474091966592</v>
      </c>
      <c r="BF172" s="59" t="str">
        <f t="shared" si="202"/>
        <v>-0.638016885345643+0.345976125495856i</v>
      </c>
      <c r="BG172" s="50">
        <f t="shared" si="203"/>
        <v>-2.783830677655593</v>
      </c>
      <c r="BH172" s="61">
        <f t="shared" si="204"/>
        <v>151.53044096356635</v>
      </c>
      <c r="BI172" s="59" t="str">
        <f t="shared" si="205"/>
        <v>-0.122056592227278+6.81430420383354i</v>
      </c>
      <c r="BJ172" s="64">
        <f t="shared" si="206"/>
        <v>16.669823486223329</v>
      </c>
      <c r="BK172" s="61">
        <f t="shared" si="207"/>
        <v>91.026161972473361</v>
      </c>
      <c r="BL172" s="59" t="str">
        <f t="shared" si="158"/>
        <v>-2.1091380814345+40.8824277079075i</v>
      </c>
      <c r="BM172" s="64">
        <f t="shared" si="208"/>
        <v>32.242277213056212</v>
      </c>
      <c r="BN172" s="61">
        <f t="shared" si="159"/>
        <v>92.95329011055523</v>
      </c>
      <c r="BO172" s="50">
        <f t="shared" si="209"/>
        <v>16.669823486223329</v>
      </c>
      <c r="BP172" s="61">
        <f t="shared" si="210"/>
        <v>91.026161972473361</v>
      </c>
    </row>
    <row r="173" spans="14:68" x14ac:dyDescent="0.25">
      <c r="N173" s="11">
        <v>55</v>
      </c>
      <c r="O173" s="51">
        <f t="shared" si="160"/>
        <v>354.81338923357566</v>
      </c>
      <c r="P173" s="49" t="str">
        <f t="shared" si="161"/>
        <v>37.1583961085025</v>
      </c>
      <c r="Q173" s="18" t="str">
        <f t="shared" si="162"/>
        <v>1+1.74739312576224i</v>
      </c>
      <c r="R173" s="18">
        <f t="shared" si="174"/>
        <v>2.0133014518350527</v>
      </c>
      <c r="S173" s="18">
        <f t="shared" si="175"/>
        <v>1.0510077991112132</v>
      </c>
      <c r="T173" s="18" t="str">
        <f t="shared" si="163"/>
        <v>1+0.00200642244662069i</v>
      </c>
      <c r="U173" s="18">
        <f t="shared" si="176"/>
        <v>1.0000020128634914</v>
      </c>
      <c r="V173" s="18">
        <f t="shared" si="177"/>
        <v>2.0064197541881561E-3</v>
      </c>
      <c r="W173" s="32" t="str">
        <f t="shared" si="164"/>
        <v>1-0.0175620020284363i</v>
      </c>
      <c r="X173" s="18">
        <f t="shared" si="178"/>
        <v>1.0001542000687929</v>
      </c>
      <c r="Y173" s="18">
        <f t="shared" si="179"/>
        <v>-1.7560196848672497E-2</v>
      </c>
      <c r="Z173" s="32" t="str">
        <f t="shared" si="165"/>
        <v>0.999996852686471+0.00422834952639693i</v>
      </c>
      <c r="AA173" s="18">
        <f t="shared" si="180"/>
        <v>1.000005792144508</v>
      </c>
      <c r="AB173" s="18">
        <f t="shared" si="181"/>
        <v>4.2283376349441133E-3</v>
      </c>
      <c r="AC173" s="32" t="str">
        <f>IMDIV(IMSUM(COMPLEX(0,2*PI()*O173*Constants!$B$61*Constants!$B$62),COMPLEX(1,0)),IMSUM(COMPLEX(0,2*PI()*O173*Constants!$B$61*Constants!$B$62),COMPLEX(2,0)))</f>
        <v>0.500009939879022+0.00222931395491992i</v>
      </c>
      <c r="AD173" s="18">
        <f t="shared" si="182"/>
        <v>0.50001490959623673</v>
      </c>
      <c r="AE173" s="18">
        <f t="shared" si="183"/>
        <v>4.4585097323781532E-3</v>
      </c>
      <c r="AF173" s="66" t="str">
        <f t="shared" si="184"/>
        <v>4.46116560470167-8.08015057442076i</v>
      </c>
      <c r="AG173" s="64">
        <f t="shared" si="185"/>
        <v>19.303928589947091</v>
      </c>
      <c r="AH173" s="61">
        <f t="shared" si="186"/>
        <v>-61.096289017662535</v>
      </c>
      <c r="AI173" s="50" t="str">
        <f t="shared" si="166"/>
        <v>107.538871525172</v>
      </c>
      <c r="AJ173" s="50" t="str">
        <f t="shared" si="167"/>
        <v>1+1.66116144119571i</v>
      </c>
      <c r="AK173" s="50">
        <f t="shared" si="187"/>
        <v>1.9389320085334114</v>
      </c>
      <c r="AL173" s="50">
        <f t="shared" si="188"/>
        <v>1.0289160140087645</v>
      </c>
      <c r="AM173" s="50" t="str">
        <f t="shared" si="168"/>
        <v>1+0.00200642244662069i</v>
      </c>
      <c r="AN173" s="50">
        <f t="shared" si="189"/>
        <v>1.0000020128634914</v>
      </c>
      <c r="AO173" s="50">
        <f t="shared" si="190"/>
        <v>2.0064197541881561E-3</v>
      </c>
      <c r="AP173" s="50" t="str">
        <f t="shared" si="169"/>
        <v>1-0.00576881229985233i</v>
      </c>
      <c r="AQ173" s="50">
        <f t="shared" si="191"/>
        <v>1.0000166394592398</v>
      </c>
      <c r="AR173" s="50">
        <f t="shared" si="192"/>
        <v>-5.7687483073196079E-3</v>
      </c>
      <c r="AS173" s="59" t="str">
        <f t="shared" si="193"/>
        <v>28.4264444571265-47.6255166015244i</v>
      </c>
      <c r="AT173" s="50">
        <f t="shared" si="194"/>
        <v>34.880219903867072</v>
      </c>
      <c r="AU173" s="61">
        <f t="shared" si="195"/>
        <v>-59.168110623361727</v>
      </c>
      <c r="AV173" s="32" t="str">
        <f t="shared" si="170"/>
        <v>-0.0000333333333333333</v>
      </c>
      <c r="AW173" s="32" t="str">
        <f t="shared" si="171"/>
        <v>0.000107009197153104i</v>
      </c>
      <c r="AX173" s="32">
        <f t="shared" si="196"/>
        <v>1.07009197153104E-4</v>
      </c>
      <c r="AY173" s="32">
        <f t="shared" si="197"/>
        <v>1.5707963267948966</v>
      </c>
      <c r="AZ173" s="32" t="str">
        <f t="shared" si="172"/>
        <v>1+0.0436582661996169i</v>
      </c>
      <c r="BA173" s="32">
        <f t="shared" si="198"/>
        <v>1.0009525684104901</v>
      </c>
      <c r="BB173" s="32">
        <f t="shared" si="199"/>
        <v>4.3630559683494184E-2</v>
      </c>
      <c r="BC173" s="32" t="str">
        <f t="shared" si="173"/>
        <v>1+2.09559677758162i</v>
      </c>
      <c r="BD173" s="32">
        <f t="shared" si="200"/>
        <v>2.3219659459627033</v>
      </c>
      <c r="BE173" s="32">
        <f t="shared" si="201"/>
        <v>1.1255618192394046</v>
      </c>
      <c r="BF173" s="59" t="str">
        <f t="shared" si="202"/>
        <v>-0.637962256477143+0.33935203090509i</v>
      </c>
      <c r="BG173" s="50">
        <f t="shared" si="203"/>
        <v>-2.8220002535136306</v>
      </c>
      <c r="BH173" s="61">
        <f t="shared" si="204"/>
        <v>151.99009489582679</v>
      </c>
      <c r="BI173" s="59" t="str">
        <f t="shared" si="205"/>
        <v>-0.104039768245082+6.668736701292i</v>
      </c>
      <c r="BJ173" s="64">
        <f t="shared" si="206"/>
        <v>16.481928336433462</v>
      </c>
      <c r="BK173" s="61">
        <f t="shared" si="207"/>
        <v>90.893805878164272</v>
      </c>
      <c r="BL173" s="59" t="str">
        <f t="shared" si="158"/>
        <v>-1.97318286785921+40.0298536949348i</v>
      </c>
      <c r="BM173" s="64">
        <f t="shared" si="208"/>
        <v>32.05821965035345</v>
      </c>
      <c r="BN173" s="61">
        <f t="shared" si="159"/>
        <v>92.821984272465059</v>
      </c>
      <c r="BO173" s="50">
        <f t="shared" si="209"/>
        <v>16.481928336433462</v>
      </c>
      <c r="BP173" s="61">
        <f t="shared" si="210"/>
        <v>90.893805878164272</v>
      </c>
    </row>
    <row r="174" spans="14:68" x14ac:dyDescent="0.25">
      <c r="N174" s="11">
        <v>56</v>
      </c>
      <c r="O174" s="51">
        <f t="shared" si="160"/>
        <v>363.07805477010152</v>
      </c>
      <c r="P174" s="49" t="str">
        <f t="shared" si="161"/>
        <v>37.1583961085025</v>
      </c>
      <c r="Q174" s="18" t="str">
        <f t="shared" si="162"/>
        <v>1+1.78809514035207i</v>
      </c>
      <c r="R174" s="18">
        <f t="shared" si="174"/>
        <v>2.0487274662459836</v>
      </c>
      <c r="S174" s="18">
        <f t="shared" si="175"/>
        <v>1.0608758176685649</v>
      </c>
      <c r="T174" s="18" t="str">
        <f t="shared" si="163"/>
        <v>1+0.00205315802918177i</v>
      </c>
      <c r="U174" s="18">
        <f t="shared" si="176"/>
        <v>1.0000021077267252</v>
      </c>
      <c r="V174" s="18">
        <f t="shared" si="177"/>
        <v>2.0531551441886607E-3</v>
      </c>
      <c r="W174" s="32" t="str">
        <f t="shared" si="164"/>
        <v>1-0.0179710736061193i</v>
      </c>
      <c r="X174" s="18">
        <f t="shared" si="178"/>
        <v>1.0001614667075294</v>
      </c>
      <c r="Y174" s="18">
        <f t="shared" si="179"/>
        <v>-1.7969139338018043E-2</v>
      </c>
      <c r="Z174" s="32" t="str">
        <f t="shared" si="165"/>
        <v>0.999996704358154+0.00432684043927564i</v>
      </c>
      <c r="AA174" s="18">
        <f t="shared" si="180"/>
        <v>1.0000060651192852</v>
      </c>
      <c r="AB174" s="18">
        <f t="shared" si="181"/>
        <v>4.3268276973581305E-3</v>
      </c>
      <c r="AC174" s="32" t="str">
        <f>IMDIV(IMSUM(COMPLEX(0,2*PI()*O174*Constants!$B$61*Constants!$B$62),COMPLEX(1,0)),IMSUM(COMPLEX(0,2*PI()*O174*Constants!$B$61*Constants!$B$62),COMPLEX(2,0)))</f>
        <v>0.500010408321336+0.0022812392103608i</v>
      </c>
      <c r="AD174" s="18">
        <f t="shared" si="182"/>
        <v>0.50001561223826207</v>
      </c>
      <c r="AE174" s="18">
        <f t="shared" si="183"/>
        <v>4.5623517917526401E-3</v>
      </c>
      <c r="AF174" s="66" t="str">
        <f t="shared" si="184"/>
        <v>4.30264327798095-7.9849089542639i</v>
      </c>
      <c r="AG174" s="64">
        <f t="shared" si="185"/>
        <v>19.152494693395354</v>
      </c>
      <c r="AH174" s="61">
        <f t="shared" si="186"/>
        <v>-61.68213112442001</v>
      </c>
      <c r="AI174" s="50" t="str">
        <f t="shared" si="166"/>
        <v>107.538871525172</v>
      </c>
      <c r="AJ174" s="50" t="str">
        <f t="shared" si="167"/>
        <v>1+1.69985486182257i</v>
      </c>
      <c r="AK174" s="50">
        <f t="shared" si="187"/>
        <v>1.9721831941434418</v>
      </c>
      <c r="AL174" s="50">
        <f t="shared" si="188"/>
        <v>1.039034946583965</v>
      </c>
      <c r="AM174" s="50" t="str">
        <f t="shared" si="168"/>
        <v>1+0.00205315802918177i</v>
      </c>
      <c r="AN174" s="50">
        <f t="shared" si="189"/>
        <v>1.0000021077267252</v>
      </c>
      <c r="AO174" s="50">
        <f t="shared" si="190"/>
        <v>2.0531551441886607E-3</v>
      </c>
      <c r="AP174" s="50" t="str">
        <f t="shared" si="169"/>
        <v>1-0.00590318520022193i</v>
      </c>
      <c r="AQ174" s="50">
        <f t="shared" si="191"/>
        <v>1.0000174236459622</v>
      </c>
      <c r="AR174" s="50">
        <f t="shared" si="192"/>
        <v>-5.9031166310522512E-3</v>
      </c>
      <c r="AS174" s="59" t="str">
        <f t="shared" si="193"/>
        <v>27.467851439899-47.1053883912472i</v>
      </c>
      <c r="AT174" s="50">
        <f t="shared" si="194"/>
        <v>34.732534069397026</v>
      </c>
      <c r="AU174" s="61">
        <f t="shared" si="195"/>
        <v>-59.752903750347279</v>
      </c>
      <c r="AV174" s="32" t="str">
        <f t="shared" si="170"/>
        <v>-0.0000333333333333333</v>
      </c>
      <c r="AW174" s="32" t="str">
        <f t="shared" si="171"/>
        <v>0.000109501761556361i</v>
      </c>
      <c r="AX174" s="32">
        <f t="shared" si="196"/>
        <v>1.09501761556361E-4</v>
      </c>
      <c r="AY174" s="32">
        <f t="shared" si="197"/>
        <v>1.5707963267948966</v>
      </c>
      <c r="AZ174" s="32" t="str">
        <f t="shared" si="172"/>
        <v>1+0.0446751978571959i</v>
      </c>
      <c r="BA174" s="32">
        <f t="shared" si="198"/>
        <v>1.0009974392093017</v>
      </c>
      <c r="BB174" s="32">
        <f t="shared" si="199"/>
        <v>4.4645511387775789E-2</v>
      </c>
      <c r="BC174" s="32" t="str">
        <f t="shared" si="173"/>
        <v>1+2.1444094971454i</v>
      </c>
      <c r="BD174" s="32">
        <f t="shared" si="200"/>
        <v>2.3661132879571483</v>
      </c>
      <c r="BE174" s="32">
        <f t="shared" si="201"/>
        <v>1.1344466127305981</v>
      </c>
      <c r="BF174" s="59" t="str">
        <f t="shared" si="202"/>
        <v>-0.637905063055169+0.332907640837936i</v>
      </c>
      <c r="BG174" s="50">
        <f t="shared" si="203"/>
        <v>-2.8587958475893478</v>
      </c>
      <c r="BH174" s="61">
        <f t="shared" si="204"/>
        <v>152.44100361565262</v>
      </c>
      <c r="BI174" s="59" t="str">
        <f t="shared" si="205"/>
        <v>-0.0864407292746314+6.52599667299934i</v>
      </c>
      <c r="BJ174" s="64">
        <f t="shared" si="206"/>
        <v>16.293698845806009</v>
      </c>
      <c r="BK174" s="61">
        <f t="shared" si="207"/>
        <v>90.758872491232594</v>
      </c>
      <c r="BL174" s="59" t="str">
        <f t="shared" si="158"/>
        <v>-1.84013778467398+39.1930233737005i</v>
      </c>
      <c r="BM174" s="64">
        <f t="shared" si="208"/>
        <v>31.873738221807688</v>
      </c>
      <c r="BN174" s="61">
        <f t="shared" si="159"/>
        <v>92.688099865305347</v>
      </c>
      <c r="BO174" s="50">
        <f t="shared" si="209"/>
        <v>16.293698845806009</v>
      </c>
      <c r="BP174" s="61">
        <f t="shared" si="210"/>
        <v>90.758872491232594</v>
      </c>
    </row>
    <row r="175" spans="14:68" x14ac:dyDescent="0.25">
      <c r="N175" s="11">
        <v>57</v>
      </c>
      <c r="O175" s="51">
        <f t="shared" si="160"/>
        <v>371.53522909717265</v>
      </c>
      <c r="P175" s="49" t="str">
        <f t="shared" si="161"/>
        <v>37.1583961085025</v>
      </c>
      <c r="Q175" s="18" t="str">
        <f t="shared" si="162"/>
        <v>1+1.82974522665354i</v>
      </c>
      <c r="R175" s="18">
        <f t="shared" si="174"/>
        <v>2.085178072602293</v>
      </c>
      <c r="S175" s="18">
        <f t="shared" si="175"/>
        <v>1.0706256118329776</v>
      </c>
      <c r="T175" s="18" t="str">
        <f t="shared" si="163"/>
        <v>1+0.00210098222330667i</v>
      </c>
      <c r="U175" s="18">
        <f t="shared" si="176"/>
        <v>1.0000022070607157</v>
      </c>
      <c r="V175" s="18">
        <f t="shared" si="177"/>
        <v>2.1009791319812261E-3</v>
      </c>
      <c r="W175" s="32" t="str">
        <f t="shared" si="164"/>
        <v>1-0.0183896736849035i</v>
      </c>
      <c r="X175" s="18">
        <f t="shared" si="178"/>
        <v>1.000169075755813</v>
      </c>
      <c r="Y175" s="18">
        <f t="shared" si="179"/>
        <v>-1.838760109821402E-2</v>
      </c>
      <c r="Z175" s="32" t="str">
        <f t="shared" si="165"/>
        <v>0.999996549039339+0.00442762550022774i</v>
      </c>
      <c r="AA175" s="18">
        <f t="shared" si="180"/>
        <v>1.0000063509589114</v>
      </c>
      <c r="AB175" s="18">
        <f t="shared" si="181"/>
        <v>4.4276118470213503E-3</v>
      </c>
      <c r="AC175" s="32" t="str">
        <f>IMDIV(IMSUM(COMPLEX(0,2*PI()*O175*Constants!$B$61*Constants!$B$62),COMPLEX(1,0)),IMSUM(COMPLEX(0,2*PI()*O175*Constants!$B$61*Constants!$B$62),COMPLEX(2,0)))</f>
        <v>0.500010898839716+0.00233437380752185i</v>
      </c>
      <c r="AD175" s="18">
        <f t="shared" si="182"/>
        <v>0.50001634799231709</v>
      </c>
      <c r="AE175" s="18">
        <f t="shared" si="183"/>
        <v>4.6686119301779854E-3</v>
      </c>
      <c r="AF175" s="66" t="str">
        <f t="shared" si="184"/>
        <v>4.1478964311654-7.88775460506869i</v>
      </c>
      <c r="AG175" s="64">
        <f t="shared" si="185"/>
        <v>18.999392745504743</v>
      </c>
      <c r="AH175" s="61">
        <f t="shared" si="186"/>
        <v>-62.261675410204155</v>
      </c>
      <c r="AI175" s="50" t="str">
        <f t="shared" si="166"/>
        <v>107.538871525172</v>
      </c>
      <c r="AJ175" s="50" t="str">
        <f t="shared" si="167"/>
        <v>1+1.73944956799741i</v>
      </c>
      <c r="AK175" s="50">
        <f t="shared" si="187"/>
        <v>2.006410924912037</v>
      </c>
      <c r="AL175" s="50">
        <f t="shared" si="188"/>
        <v>1.049041332181021</v>
      </c>
      <c r="AM175" s="50" t="str">
        <f t="shared" si="168"/>
        <v>1+0.00210098222330667i</v>
      </c>
      <c r="AN175" s="50">
        <f t="shared" si="189"/>
        <v>1.0000022070607157</v>
      </c>
      <c r="AO175" s="50">
        <f t="shared" si="190"/>
        <v>2.1009791319812261E-3</v>
      </c>
      <c r="AP175" s="50" t="str">
        <f t="shared" si="169"/>
        <v>1-0.00604068804752256i</v>
      </c>
      <c r="AQ175" s="50">
        <f t="shared" si="191"/>
        <v>1.0000182447896075</v>
      </c>
      <c r="AR175" s="50">
        <f t="shared" si="192"/>
        <v>-6.0406145744059028E-3</v>
      </c>
      <c r="AS175" s="59" t="str">
        <f t="shared" si="193"/>
        <v>26.530462869899-46.5720736962945i</v>
      </c>
      <c r="AT175" s="50">
        <f t="shared" si="194"/>
        <v>34.583089459868887</v>
      </c>
      <c r="AU175" s="61">
        <f t="shared" si="195"/>
        <v>-60.331365352425038</v>
      </c>
      <c r="AV175" s="32" t="str">
        <f t="shared" si="170"/>
        <v>-0.0000333333333333333</v>
      </c>
      <c r="AW175" s="32" t="str">
        <f t="shared" si="171"/>
        <v>0.000112052385243022i</v>
      </c>
      <c r="AX175" s="32">
        <f t="shared" si="196"/>
        <v>1.12052385243022E-4</v>
      </c>
      <c r="AY175" s="32">
        <f t="shared" si="197"/>
        <v>1.5707963267948966</v>
      </c>
      <c r="AZ175" s="32" t="str">
        <f t="shared" si="172"/>
        <v>1+0.0457158168960247i</v>
      </c>
      <c r="BA175" s="32">
        <f t="shared" si="198"/>
        <v>1.001044422548006</v>
      </c>
      <c r="BB175" s="32">
        <f t="shared" si="199"/>
        <v>4.5684009063110771E-2</v>
      </c>
      <c r="BC175" s="32" t="str">
        <f t="shared" si="173"/>
        <v>1+2.19435921100919i</v>
      </c>
      <c r="BD175" s="32">
        <f t="shared" si="200"/>
        <v>2.4114751391919582</v>
      </c>
      <c r="BE175" s="32">
        <f t="shared" si="201"/>
        <v>1.1432008886043823</v>
      </c>
      <c r="BF175" s="59" t="str">
        <f t="shared" si="202"/>
        <v>-0.637845185180363+0.326639522408191i</v>
      </c>
      <c r="BG175" s="50">
        <f t="shared" si="203"/>
        <v>-2.8942584344837643</v>
      </c>
      <c r="BH175" s="61">
        <f t="shared" si="204"/>
        <v>152.88308514208285</v>
      </c>
      <c r="BI175" s="59" t="str">
        <f t="shared" si="205"/>
        <v>-0.0692633701730152+6.38603320600181i</v>
      </c>
      <c r="BJ175" s="64">
        <f t="shared" si="206"/>
        <v>16.105134311020983</v>
      </c>
      <c r="BK175" s="61">
        <f t="shared" si="207"/>
        <v>90.621409731878686</v>
      </c>
      <c r="BL175" s="59" t="str">
        <f t="shared" si="158"/>
        <v>-1.71004809245476+38.3716706921385i</v>
      </c>
      <c r="BM175" s="64">
        <f t="shared" si="208"/>
        <v>31.688831025385117</v>
      </c>
      <c r="BN175" s="61">
        <f t="shared" si="159"/>
        <v>92.551719789657795</v>
      </c>
      <c r="BO175" s="50">
        <f t="shared" si="209"/>
        <v>16.105134311020983</v>
      </c>
      <c r="BP175" s="61">
        <f t="shared" si="210"/>
        <v>90.621409731878686</v>
      </c>
    </row>
    <row r="176" spans="14:68" x14ac:dyDescent="0.25">
      <c r="N176" s="11">
        <v>58</v>
      </c>
      <c r="O176" s="51">
        <f t="shared" si="160"/>
        <v>380.18939632056163</v>
      </c>
      <c r="P176" s="49" t="str">
        <f t="shared" si="161"/>
        <v>37.1583961085025</v>
      </c>
      <c r="Q176" s="18" t="str">
        <f t="shared" si="162"/>
        <v>1+1.87236546809373i</v>
      </c>
      <c r="R176" s="18">
        <f t="shared" si="174"/>
        <v>2.122675775079617</v>
      </c>
      <c r="S176" s="18">
        <f t="shared" si="175"/>
        <v>1.0802549359347688</v>
      </c>
      <c r="T176" s="18" t="str">
        <f t="shared" si="163"/>
        <v>1+0.00214992038601615i</v>
      </c>
      <c r="U176" s="18">
        <f t="shared" si="176"/>
        <v>1.0000023110761624</v>
      </c>
      <c r="V176" s="18">
        <f t="shared" si="177"/>
        <v>2.1499170736016715E-3</v>
      </c>
      <c r="W176" s="32" t="str">
        <f t="shared" si="164"/>
        <v>1-0.0188180242120915i</v>
      </c>
      <c r="X176" s="18">
        <f t="shared" si="178"/>
        <v>1.0001770433454504</v>
      </c>
      <c r="Y176" s="18">
        <f t="shared" si="179"/>
        <v>-1.8815803416672897E-2</v>
      </c>
      <c r="Z176" s="32" t="str">
        <f t="shared" si="165"/>
        <v>0.999996386400573+0.00453075814682662i</v>
      </c>
      <c r="AA176" s="18">
        <f t="shared" si="180"/>
        <v>1.0000066502696814</v>
      </c>
      <c r="AB176" s="18">
        <f t="shared" si="181"/>
        <v>4.5307435171571212E-3</v>
      </c>
      <c r="AC176" s="32" t="str">
        <f>IMDIV(IMSUM(COMPLEX(0,2*PI()*O176*Constants!$B$61*Constants!$B$62),COMPLEX(1,0)),IMSUM(COMPLEX(0,2*PI()*O176*Constants!$B$61*Constants!$B$62),COMPLEX(2,0)))</f>
        <v>0.500011412474483+0.00238874590465895i</v>
      </c>
      <c r="AD176" s="18">
        <f t="shared" si="182"/>
        <v>0.50001711841868435</v>
      </c>
      <c r="AE176" s="18">
        <f t="shared" si="183"/>
        <v>4.77734642094733E-3</v>
      </c>
      <c r="AF176" s="66" t="str">
        <f t="shared" si="184"/>
        <v>3.99694997506374-7.78885765081249i</v>
      </c>
      <c r="AG176" s="64">
        <f t="shared" si="185"/>
        <v>18.844663340746834</v>
      </c>
      <c r="AH176" s="61">
        <f t="shared" si="186"/>
        <v>-62.834804270937205</v>
      </c>
      <c r="AI176" s="50" t="str">
        <f t="shared" si="166"/>
        <v>107.538871525172</v>
      </c>
      <c r="AJ176" s="50" t="str">
        <f t="shared" si="167"/>
        <v>1+1.77996655335753i</v>
      </c>
      <c r="AK176" s="50">
        <f t="shared" si="187"/>
        <v>2.0416368264388955</v>
      </c>
      <c r="AL176" s="50">
        <f t="shared" si="188"/>
        <v>1.0589324603922019</v>
      </c>
      <c r="AM176" s="50" t="str">
        <f t="shared" si="168"/>
        <v>1+0.00214992038601615i</v>
      </c>
      <c r="AN176" s="50">
        <f t="shared" si="189"/>
        <v>1.0000023110761624</v>
      </c>
      <c r="AO176" s="50">
        <f t="shared" si="190"/>
        <v>2.1499170736016715E-3</v>
      </c>
      <c r="AP176" s="50" t="str">
        <f t="shared" si="169"/>
        <v>1-0.00618139374758394i</v>
      </c>
      <c r="AQ176" s="50">
        <f t="shared" si="191"/>
        <v>1.0000191046318379</v>
      </c>
      <c r="AR176" s="50">
        <f t="shared" si="192"/>
        <v>-6.1813150198022568E-3</v>
      </c>
      <c r="AS176" s="59" t="str">
        <f t="shared" si="193"/>
        <v>25.6145436353347-46.0265710462996i</v>
      </c>
      <c r="AT176" s="50">
        <f t="shared" si="194"/>
        <v>34.431925693786049</v>
      </c>
      <c r="AU176" s="61">
        <f t="shared" si="195"/>
        <v>-60.903342857732405</v>
      </c>
      <c r="AV176" s="32" t="str">
        <f t="shared" si="170"/>
        <v>-0.0000333333333333333</v>
      </c>
      <c r="AW176" s="32" t="str">
        <f t="shared" si="171"/>
        <v>0.000114662420587528i</v>
      </c>
      <c r="AX176" s="32">
        <f t="shared" si="196"/>
        <v>1.14662420587528E-4</v>
      </c>
      <c r="AY176" s="32">
        <f t="shared" si="197"/>
        <v>1.5707963267948966</v>
      </c>
      <c r="AZ176" s="32" t="str">
        <f t="shared" si="172"/>
        <v>1+0.0467806750660921i</v>
      </c>
      <c r="BA176" s="32">
        <f t="shared" si="198"/>
        <v>1.0010936177798953</v>
      </c>
      <c r="BB176" s="32">
        <f t="shared" si="199"/>
        <v>4.6746594369643402E-2</v>
      </c>
      <c r="BC176" s="32" t="str">
        <f t="shared" si="173"/>
        <v>1+2.24547240317243i</v>
      </c>
      <c r="BD176" s="32">
        <f t="shared" si="200"/>
        <v>2.4580777679741881</v>
      </c>
      <c r="BE176" s="32">
        <f t="shared" si="201"/>
        <v>1.1518239202321305</v>
      </c>
      <c r="BF176" s="59" t="str">
        <f t="shared" si="202"/>
        <v>-0.637782497395256+0.320544335055809i</v>
      </c>
      <c r="BG176" s="50">
        <f t="shared" si="203"/>
        <v>-2.9284286849390373</v>
      </c>
      <c r="BH176" s="61">
        <f t="shared" si="204"/>
        <v>153.31626680752368</v>
      </c>
      <c r="BI176" s="59" t="str">
        <f t="shared" si="205"/>
        <v>-0.052510540536018+6.24879675639948i</v>
      </c>
      <c r="BJ176" s="64">
        <f t="shared" si="206"/>
        <v>15.916234655807799</v>
      </c>
      <c r="BK176" s="61">
        <f t="shared" si="207"/>
        <v>90.481462536586463</v>
      </c>
      <c r="BL176" s="59" t="str">
        <f t="shared" si="158"/>
        <v>-1.58295099844847+37.5655382857955i</v>
      </c>
      <c r="BM176" s="64">
        <f t="shared" si="208"/>
        <v>31.503497008847006</v>
      </c>
      <c r="BN176" s="61">
        <f t="shared" si="159"/>
        <v>92.412923949791249</v>
      </c>
      <c r="BO176" s="50">
        <f t="shared" si="209"/>
        <v>15.916234655807799</v>
      </c>
      <c r="BP176" s="61">
        <f t="shared" si="210"/>
        <v>90.481462536586463</v>
      </c>
    </row>
    <row r="177" spans="14:68" x14ac:dyDescent="0.25">
      <c r="N177" s="11">
        <v>59</v>
      </c>
      <c r="O177" s="51">
        <f t="shared" si="160"/>
        <v>389.04514499428063</v>
      </c>
      <c r="P177" s="49" t="str">
        <f t="shared" si="161"/>
        <v>37.1583961085025</v>
      </c>
      <c r="Q177" s="18" t="str">
        <f t="shared" si="162"/>
        <v>1+1.91597846248879i</v>
      </c>
      <c r="R177" s="18">
        <f t="shared" si="174"/>
        <v>2.1612435005618655</v>
      </c>
      <c r="S177" s="18">
        <f t="shared" si="175"/>
        <v>1.0897617518317941</v>
      </c>
      <c r="T177" s="18" t="str">
        <f t="shared" si="163"/>
        <v>1+0.00219999846497186i</v>
      </c>
      <c r="U177" s="18">
        <f t="shared" si="176"/>
        <v>1.0000024199936948</v>
      </c>
      <c r="V177" s="18">
        <f t="shared" si="177"/>
        <v>2.1999949156562633E-3</v>
      </c>
      <c r="W177" s="32" t="str">
        <f t="shared" si="164"/>
        <v>1-0.0192563523048028i</v>
      </c>
      <c r="X177" s="18">
        <f t="shared" si="178"/>
        <v>1.0001853863679906</v>
      </c>
      <c r="Y177" s="18">
        <f t="shared" si="179"/>
        <v>-1.9253972703459743E-2</v>
      </c>
      <c r="Z177" s="32" t="str">
        <f t="shared" si="165"/>
        <v>0.999996216096879+0.00463629306136661i</v>
      </c>
      <c r="AA177" s="18">
        <f t="shared" si="180"/>
        <v>1.000006963686467</v>
      </c>
      <c r="AB177" s="18">
        <f t="shared" si="181"/>
        <v>4.63627738539861E-3</v>
      </c>
      <c r="AC177" s="32" t="str">
        <f>IMDIV(IMSUM(COMPLEX(0,2*PI()*O177*Constants!$B$61*Constants!$B$62),COMPLEX(1,0)),IMSUM(COMPLEX(0,2*PI()*O177*Constants!$B$61*Constants!$B$62),COMPLEX(2,0)))</f>
        <v>0.50001195031498+0.00244438431513625i</v>
      </c>
      <c r="AD177" s="18">
        <f t="shared" si="182"/>
        <v>0.50001792515115906</v>
      </c>
      <c r="AE177" s="18">
        <f t="shared" si="183"/>
        <v>4.8886128444802128E-3</v>
      </c>
      <c r="AF177" s="66" t="str">
        <f t="shared" si="184"/>
        <v>3.84981975496552-7.68838573041416i</v>
      </c>
      <c r="AG177" s="64">
        <f t="shared" si="185"/>
        <v>18.688347298431136</v>
      </c>
      <c r="AH177" s="61">
        <f t="shared" si="186"/>
        <v>-63.401412249068919</v>
      </c>
      <c r="AI177" s="50" t="str">
        <f t="shared" si="166"/>
        <v>107.538871525172</v>
      </c>
      <c r="AJ177" s="50" t="str">
        <f t="shared" si="167"/>
        <v>1+1.82142730054489i</v>
      </c>
      <c r="AK177" s="50">
        <f t="shared" si="187"/>
        <v>2.0778829156548366</v>
      </c>
      <c r="AL177" s="50">
        <f t="shared" si="188"/>
        <v>1.068705833423319</v>
      </c>
      <c r="AM177" s="50" t="str">
        <f t="shared" si="168"/>
        <v>1+0.00219999846497186i</v>
      </c>
      <c r="AN177" s="50">
        <f t="shared" si="189"/>
        <v>1.0000024199936948</v>
      </c>
      <c r="AO177" s="50">
        <f t="shared" si="190"/>
        <v>2.1999949156562633E-3</v>
      </c>
      <c r="AP177" s="50" t="str">
        <f t="shared" si="169"/>
        <v>1-0.00632537690443072i</v>
      </c>
      <c r="AQ177" s="50">
        <f t="shared" si="191"/>
        <v>1.0000200049963917</v>
      </c>
      <c r="AR177" s="50">
        <f t="shared" si="192"/>
        <v>-6.3252925461839303E-3</v>
      </c>
      <c r="AS177" s="59" t="str">
        <f t="shared" si="193"/>
        <v>24.7203021728246-45.4698717972956i</v>
      </c>
      <c r="AT177" s="50">
        <f t="shared" si="194"/>
        <v>34.279082829332118</v>
      </c>
      <c r="AU177" s="61">
        <f t="shared" si="195"/>
        <v>-61.468695939631942</v>
      </c>
      <c r="AV177" s="32" t="str">
        <f t="shared" si="170"/>
        <v>-0.0000333333333333333</v>
      </c>
      <c r="AW177" s="32" t="str">
        <f t="shared" si="171"/>
        <v>0.000117333251465166i</v>
      </c>
      <c r="AX177" s="32">
        <f t="shared" si="196"/>
        <v>1.17333251465166E-4</v>
      </c>
      <c r="AY177" s="32">
        <f t="shared" si="197"/>
        <v>1.5707963267948966</v>
      </c>
      <c r="AZ177" s="32" t="str">
        <f t="shared" si="172"/>
        <v>1+0.0478703369692951i</v>
      </c>
      <c r="BA177" s="32">
        <f t="shared" si="198"/>
        <v>1.0011451289206545</v>
      </c>
      <c r="BB177" s="32">
        <f t="shared" si="199"/>
        <v>4.7833821100693896E-2</v>
      </c>
      <c r="BC177" s="32" t="str">
        <f t="shared" si="173"/>
        <v>1+2.29777617452617i</v>
      </c>
      <c r="BD177" s="32">
        <f t="shared" si="200"/>
        <v>2.5059479939176947</v>
      </c>
      <c r="BE177" s="32">
        <f t="shared" si="201"/>
        <v>1.160315149180849</v>
      </c>
      <c r="BF177" s="59" t="str">
        <f t="shared" si="202"/>
        <v>-0.637716868431239+0.314618828695463i</v>
      </c>
      <c r="BG177" s="50">
        <f t="shared" si="203"/>
        <v>-2.9613469055782811</v>
      </c>
      <c r="BH177" s="61">
        <f t="shared" si="204"/>
        <v>153.74048488610148</v>
      </c>
      <c r="BI177" s="59" t="str">
        <f t="shared" si="205"/>
        <v>-0.0361840850995168+6.11423905328705i</v>
      </c>
      <c r="BJ177" s="64">
        <f t="shared" si="206"/>
        <v>15.727000392852858</v>
      </c>
      <c r="BK177" s="61">
        <f t="shared" si="207"/>
        <v>90.339072637032558</v>
      </c>
      <c r="BL177" s="59" t="str">
        <f t="shared" si="158"/>
        <v>-1.45887588252965+36.7743767651532i</v>
      </c>
      <c r="BM177" s="64">
        <f t="shared" si="208"/>
        <v>31.317735923753823</v>
      </c>
      <c r="BN177" s="61">
        <f t="shared" si="159"/>
        <v>92.271788946469542</v>
      </c>
      <c r="BO177" s="50">
        <f t="shared" si="209"/>
        <v>15.727000392852858</v>
      </c>
      <c r="BP177" s="61">
        <f t="shared" si="210"/>
        <v>90.339072637032558</v>
      </c>
    </row>
    <row r="178" spans="14:68" x14ac:dyDescent="0.25">
      <c r="N178" s="11">
        <v>60</v>
      </c>
      <c r="O178" s="51">
        <f t="shared" si="160"/>
        <v>398.10717055349761</v>
      </c>
      <c r="P178" s="49" t="str">
        <f t="shared" si="161"/>
        <v>37.1583961085025</v>
      </c>
      <c r="Q178" s="18" t="str">
        <f t="shared" si="162"/>
        <v>1+1.96060733402563i</v>
      </c>
      <c r="R178" s="18">
        <f t="shared" si="174"/>
        <v>2.2009046136157489</v>
      </c>
      <c r="S178" s="18">
        <f t="shared" si="175"/>
        <v>1.0991442255483903</v>
      </c>
      <c r="T178" s="18" t="str">
        <f t="shared" si="163"/>
        <v>1+0.00225124301223412i</v>
      </c>
      <c r="U178" s="18">
        <f t="shared" si="176"/>
        <v>1.0000025340443393</v>
      </c>
      <c r="V178" s="18">
        <f t="shared" si="177"/>
        <v>2.2512392090744582E-3</v>
      </c>
      <c r="W178" s="32" t="str">
        <f t="shared" si="164"/>
        <v>1-0.019704890370394i</v>
      </c>
      <c r="X178" s="18">
        <f t="shared" si="178"/>
        <v>1.00019412251048</v>
      </c>
      <c r="Y178" s="18">
        <f t="shared" si="179"/>
        <v>-1.9702340608343055E-2</v>
      </c>
      <c r="Z178" s="32" t="str">
        <f t="shared" si="165"/>
        <v>0.999996037767019+0.00474428619985633i</v>
      </c>
      <c r="AA178" s="18">
        <f t="shared" si="180"/>
        <v>1.0000072918740559</v>
      </c>
      <c r="AB178" s="18">
        <f t="shared" si="181"/>
        <v>4.7442694027599345E-3</v>
      </c>
      <c r="AC178" s="32" t="str">
        <f>IMDIV(IMSUM(COMPLEX(0,2*PI()*O178*Constants!$B$61*Constants!$B$62),COMPLEX(1,0)),IMSUM(COMPLEX(0,2*PI()*O178*Constants!$B$61*Constants!$B$62),COMPLEX(2,0)))</f>
        <v>0.500012513501879+0.00250131852262977i</v>
      </c>
      <c r="AD178" s="18">
        <f t="shared" si="182"/>
        <v>0.5000187699005092</v>
      </c>
      <c r="AE178" s="18">
        <f t="shared" si="183"/>
        <v>5.002470118508893E-3</v>
      </c>
      <c r="AF178" s="66" t="str">
        <f t="shared" si="184"/>
        <v>3.70651294087815-7.5865035042449i</v>
      </c>
      <c r="AG178" s="64">
        <f t="shared" si="185"/>
        <v>18.530485568385316</v>
      </c>
      <c r="AH178" s="61">
        <f t="shared" si="186"/>
        <v>-63.961405846851413</v>
      </c>
      <c r="AI178" s="50" t="str">
        <f t="shared" si="166"/>
        <v>107.538871525172</v>
      </c>
      <c r="AJ178" s="50" t="str">
        <f t="shared" si="167"/>
        <v>1+1.86385379259643i</v>
      </c>
      <c r="AK178" s="50">
        <f t="shared" si="187"/>
        <v>2.115171614828474</v>
      </c>
      <c r="AL178" s="50">
        <f t="shared" si="188"/>
        <v>1.0783591641952444</v>
      </c>
      <c r="AM178" s="50" t="str">
        <f t="shared" si="168"/>
        <v>1+0.00225124301223412i</v>
      </c>
      <c r="AN178" s="50">
        <f t="shared" si="189"/>
        <v>1.0000025340443393</v>
      </c>
      <c r="AO178" s="50">
        <f t="shared" si="190"/>
        <v>2.2512392090744582E-3</v>
      </c>
      <c r="AP178" s="50" t="str">
        <f t="shared" si="169"/>
        <v>1-0.00647271385983847i</v>
      </c>
      <c r="AQ178" s="50">
        <f t="shared" si="191"/>
        <v>1.0000209477929507</v>
      </c>
      <c r="AR178" s="50">
        <f t="shared" si="192"/>
        <v>-6.4726234684507429E-3</v>
      </c>
      <c r="AS178" s="59" t="str">
        <f t="shared" si="193"/>
        <v>23.8478923140732-44.9029567461444i</v>
      </c>
      <c r="AT178" s="50">
        <f t="shared" si="194"/>
        <v>34.124601261338256</v>
      </c>
      <c r="AU178" s="61">
        <f t="shared" si="195"/>
        <v>-62.027296409407697</v>
      </c>
      <c r="AV178" s="32" t="str">
        <f t="shared" si="170"/>
        <v>-0.0000333333333333333</v>
      </c>
      <c r="AW178" s="32" t="str">
        <f t="shared" si="171"/>
        <v>0.00012006629398582i</v>
      </c>
      <c r="AX178" s="32">
        <f t="shared" si="196"/>
        <v>1.2006629398581999E-4</v>
      </c>
      <c r="AY178" s="32">
        <f t="shared" si="197"/>
        <v>1.5707963267948966</v>
      </c>
      <c r="AZ178" s="32" t="str">
        <f t="shared" si="172"/>
        <v>1+0.0489853803587979i</v>
      </c>
      <c r="BA178" s="32">
        <f t="shared" si="198"/>
        <v>1.0011990648661715</v>
      </c>
      <c r="BB178" s="32">
        <f t="shared" si="199"/>
        <v>4.8946255431065191E-2</v>
      </c>
      <c r="BC178" s="32" t="str">
        <f t="shared" si="173"/>
        <v>1+2.3512982572223i</v>
      </c>
      <c r="BD178" s="32">
        <f t="shared" si="200"/>
        <v>2.5551132057927735</v>
      </c>
      <c r="BE178" s="32">
        <f t="shared" si="201"/>
        <v>1.1686741787586434</v>
      </c>
      <c r="BF178" s="59" t="str">
        <f t="shared" si="202"/>
        <v>-0.637648160944383+0.308859841907427i</v>
      </c>
      <c r="BG178" s="50">
        <f t="shared" si="203"/>
        <v>-2.9930529836662938</v>
      </c>
      <c r="BH178" s="61">
        <f t="shared" si="204"/>
        <v>154.15568420961853</v>
      </c>
      <c r="BI178" s="59" t="str">
        <f t="shared" si="205"/>
        <v>-0.0202848873162886+5.98231300842733i</v>
      </c>
      <c r="BJ178" s="64">
        <f t="shared" si="206"/>
        <v>15.537432584719017</v>
      </c>
      <c r="BK178" s="61">
        <f t="shared" si="207"/>
        <v>90.194278362767122</v>
      </c>
      <c r="BL178" s="59" t="str">
        <f t="shared" ref="BL178:BL241" si="211">IMPRODUCT(AS178,BF178)</f>
        <v>-1.33784455467827+35.9979440400941i</v>
      </c>
      <c r="BM178" s="64">
        <f t="shared" si="208"/>
        <v>31.131548277671953</v>
      </c>
      <c r="BN178" s="61">
        <f t="shared" ref="BN178:BN241" si="212">(180/PI())*IMARGUMENT(BL178)</f>
        <v>92.128387800210831</v>
      </c>
      <c r="BO178" s="50">
        <f t="shared" si="209"/>
        <v>15.537432584719017</v>
      </c>
      <c r="BP178" s="61">
        <f t="shared" si="210"/>
        <v>90.194278362767122</v>
      </c>
    </row>
    <row r="179" spans="14:68" x14ac:dyDescent="0.25">
      <c r="N179" s="11">
        <v>61</v>
      </c>
      <c r="O179" s="51">
        <f t="shared" si="160"/>
        <v>407.38027780411272</v>
      </c>
      <c r="P179" s="49" t="str">
        <f t="shared" si="161"/>
        <v>37.1583961085025</v>
      </c>
      <c r="Q179" s="18" t="str">
        <f t="shared" si="162"/>
        <v>1+2.00627574552268i</v>
      </c>
      <c r="R179" s="18">
        <f t="shared" si="174"/>
        <v>2.2416829318778748</v>
      </c>
      <c r="S179" s="18">
        <f t="shared" si="175"/>
        <v>1.1084007233355351</v>
      </c>
      <c r="T179" s="18" t="str">
        <f t="shared" si="163"/>
        <v>1+0.00230368119834019i</v>
      </c>
      <c r="U179" s="18">
        <f t="shared" si="176"/>
        <v>1.0000026534700113</v>
      </c>
      <c r="V179" s="18">
        <f t="shared" si="177"/>
        <v>2.3036771231817756E-3</v>
      </c>
      <c r="W179" s="32" t="str">
        <f t="shared" si="164"/>
        <v>1-0.0201638762296847i</v>
      </c>
      <c r="X179" s="18">
        <f t="shared" si="178"/>
        <v>1.0002032702928969</v>
      </c>
      <c r="Y179" s="18">
        <f t="shared" si="179"/>
        <v>-2.0161144140410672E-2</v>
      </c>
      <c r="Z179" s="32" t="str">
        <f t="shared" si="165"/>
        <v>0.999995851032731+0.00485479482168728i</v>
      </c>
      <c r="AA179" s="18">
        <f t="shared" si="180"/>
        <v>1.0000076355285676</v>
      </c>
      <c r="AB179" s="18">
        <f t="shared" si="181"/>
        <v>4.8547768232808921E-3</v>
      </c>
      <c r="AC179" s="32" t="str">
        <f>IMDIV(IMSUM(COMPLEX(0,2*PI()*O179*Constants!$B$61*Constants!$B$62),COMPLEX(1,0)),IMSUM(COMPLEX(0,2*PI()*O179*Constants!$B$61*Constants!$B$62),COMPLEX(2,0)))</f>
        <v>0.500013103229598+0.00255957869668097i</v>
      </c>
      <c r="AD179" s="18">
        <f t="shared" si="182"/>
        <v>0.50001965445809937</v>
      </c>
      <c r="AE179" s="18">
        <f t="shared" si="183"/>
        <v>5.118978528948809E-3</v>
      </c>
      <c r="AF179" s="66" t="str">
        <f t="shared" si="184"/>
        <v>3.56702844138638-7.48337220552496i</v>
      </c>
      <c r="AG179" s="64">
        <f t="shared" si="185"/>
        <v>18.371119140946661</v>
      </c>
      <c r="AH179" s="61">
        <f t="shared" si="186"/>
        <v>-64.514703306580131</v>
      </c>
      <c r="AI179" s="50" t="str">
        <f t="shared" si="166"/>
        <v>107.538871525172</v>
      </c>
      <c r="AJ179" s="50" t="str">
        <f t="shared" si="167"/>
        <v>1+1.90726852459984i</v>
      </c>
      <c r="AK179" s="50">
        <f t="shared" si="187"/>
        <v>2.153525766023999</v>
      </c>
      <c r="AL179" s="50">
        <f t="shared" si="188"/>
        <v>1.0878903737481205</v>
      </c>
      <c r="AM179" s="50" t="str">
        <f t="shared" si="168"/>
        <v>1+0.00230368119834019i</v>
      </c>
      <c r="AN179" s="50">
        <f t="shared" si="189"/>
        <v>1.0000026534700113</v>
      </c>
      <c r="AO179" s="50">
        <f t="shared" si="190"/>
        <v>2.3036771231817756E-3</v>
      </c>
      <c r="AP179" s="50" t="str">
        <f t="shared" si="169"/>
        <v>1-0.00662348273381122i</v>
      </c>
      <c r="AQ179" s="50">
        <f t="shared" si="191"/>
        <v>1.0000219350211899</v>
      </c>
      <c r="AR179" s="50">
        <f t="shared" si="192"/>
        <v>-6.6233858778089842E-3</v>
      </c>
      <c r="AS179" s="59" t="str">
        <f t="shared" si="193"/>
        <v>22.997415330491-44.3267929893326i</v>
      </c>
      <c r="AT179" s="50">
        <f t="shared" si="194"/>
        <v>33.968521621865641</v>
      </c>
      <c r="AU179" s="61">
        <f t="shared" si="195"/>
        <v>-62.579028069042906</v>
      </c>
      <c r="AV179" s="32" t="str">
        <f t="shared" si="170"/>
        <v>-0.0000333333333333333</v>
      </c>
      <c r="AW179" s="32" t="str">
        <f t="shared" si="171"/>
        <v>0.00012286299724481i</v>
      </c>
      <c r="AX179" s="32">
        <f t="shared" si="196"/>
        <v>1.2286299724481001E-4</v>
      </c>
      <c r="AY179" s="32">
        <f t="shared" si="197"/>
        <v>1.5707963267948966</v>
      </c>
      <c r="AZ179" s="32" t="str">
        <f t="shared" si="172"/>
        <v>1+0.0501263964453652i</v>
      </c>
      <c r="BA179" s="32">
        <f t="shared" si="198"/>
        <v>1.0012555396204297</v>
      </c>
      <c r="BB179" s="32">
        <f t="shared" si="199"/>
        <v>5.0084476168715274E-2</v>
      </c>
      <c r="BC179" s="32" t="str">
        <f t="shared" si="173"/>
        <v>1+2.40606702937753i</v>
      </c>
      <c r="BD179" s="32">
        <f t="shared" si="200"/>
        <v>2.6056013796929127</v>
      </c>
      <c r="BE179" s="32">
        <f t="shared" si="201"/>
        <v>1.1769007673936582</v>
      </c>
      <c r="BF179" s="59" t="str">
        <f t="shared" si="202"/>
        <v>-0.637576231239756+0.303264300169473i</v>
      </c>
      <c r="BG179" s="50">
        <f t="shared" si="203"/>
        <v>-3.0235863368353044</v>
      </c>
      <c r="BH179" s="61">
        <f t="shared" si="204"/>
        <v>154.5618177737735</v>
      </c>
      <c r="BI179" s="59" t="str">
        <f t="shared" si="205"/>
        <v>-0.00481291556793684+5.85297263172459i</v>
      </c>
      <c r="BJ179" s="64">
        <f t="shared" si="206"/>
        <v>15.347532804111355</v>
      </c>
      <c r="BK179" s="61">
        <f t="shared" si="207"/>
        <v>90.047114467193353</v>
      </c>
      <c r="BL179" s="59" t="str">
        <f t="shared" si="211"/>
        <v>-1.21987154000279+35.2360046829916i</v>
      </c>
      <c r="BM179" s="64">
        <f t="shared" si="208"/>
        <v>30.94493528503034</v>
      </c>
      <c r="BN179" s="61">
        <f t="shared" si="212"/>
        <v>91.982789704730592</v>
      </c>
      <c r="BO179" s="50">
        <f t="shared" si="209"/>
        <v>15.347532804111355</v>
      </c>
      <c r="BP179" s="61">
        <f t="shared" si="210"/>
        <v>90.047114467193353</v>
      </c>
    </row>
    <row r="180" spans="14:68" x14ac:dyDescent="0.25">
      <c r="N180" s="11">
        <v>62</v>
      </c>
      <c r="O180" s="51">
        <f t="shared" si="160"/>
        <v>416.86938347033572</v>
      </c>
      <c r="P180" s="49" t="str">
        <f t="shared" si="161"/>
        <v>37.1583961085025</v>
      </c>
      <c r="Q180" s="18" t="str">
        <f t="shared" si="162"/>
        <v>1+2.05300791097621i</v>
      </c>
      <c r="R180" s="18">
        <f t="shared" si="174"/>
        <v>2.2836027418381906</v>
      </c>
      <c r="S180" s="18">
        <f t="shared" si="175"/>
        <v>1.1175298072075788</v>
      </c>
      <c r="T180" s="18" t="str">
        <f t="shared" si="163"/>
        <v>1+0.00235734082671045i</v>
      </c>
      <c r="U180" s="18">
        <f t="shared" si="176"/>
        <v>1.0000027785240266</v>
      </c>
      <c r="V180" s="18">
        <f t="shared" si="177"/>
        <v>2.3573364601001926E-3</v>
      </c>
      <c r="W180" s="32" t="str">
        <f t="shared" si="164"/>
        <v>1-0.0206335532430529i</v>
      </c>
      <c r="X180" s="18">
        <f t="shared" si="178"/>
        <v>1.0002128491073456</v>
      </c>
      <c r="Y180" s="18">
        <f t="shared" si="179"/>
        <v>-2.063062579029757E-2</v>
      </c>
      <c r="Z180" s="32" t="str">
        <f t="shared" si="165"/>
        <v>0.999995655497928+0.00496787751999349i</v>
      </c>
      <c r="AA180" s="18">
        <f t="shared" si="180"/>
        <v>1.0000079953789291</v>
      </c>
      <c r="AB180" s="18">
        <f t="shared" si="181"/>
        <v>4.9678582343610648E-3</v>
      </c>
      <c r="AC180" s="32" t="str">
        <f>IMDIV(IMSUM(COMPLEX(0,2*PI()*O180*Constants!$B$61*Constants!$B$62),COMPLEX(1,0)),IMSUM(COMPLEX(0,2*PI()*O180*Constants!$B$61*Constants!$B$62),COMPLEX(2,0)))</f>
        <v>0.500013720748838+0.00261919570860847i</v>
      </c>
      <c r="AD180" s="18">
        <f t="shared" si="182"/>
        <v>0.5000205806996918</v>
      </c>
      <c r="AE180" s="18">
        <f t="shared" si="183"/>
        <v>5.2381997614683691E-3</v>
      </c>
      <c r="AF180" s="66" t="str">
        <f t="shared" si="184"/>
        <v>3.43135733641331-7.37914923686455i</v>
      </c>
      <c r="AG180" s="64">
        <f t="shared" si="185"/>
        <v>18.210288961493468</v>
      </c>
      <c r="AH180" s="61">
        <f t="shared" si="186"/>
        <v>-65.061234360974183</v>
      </c>
      <c r="AI180" s="50" t="str">
        <f t="shared" si="166"/>
        <v>107.538871525172</v>
      </c>
      <c r="AJ180" s="50" t="str">
        <f t="shared" si="167"/>
        <v>1+1.95169451562067i</v>
      </c>
      <c r="AK180" s="50">
        <f t="shared" si="187"/>
        <v>2.1929686459919582</v>
      </c>
      <c r="AL180" s="50">
        <f t="shared" si="188"/>
        <v>1.0972975880013205</v>
      </c>
      <c r="AM180" s="50" t="str">
        <f t="shared" si="168"/>
        <v>1+0.00235734082671045i</v>
      </c>
      <c r="AN180" s="50">
        <f t="shared" si="189"/>
        <v>1.0000027785240266</v>
      </c>
      <c r="AO180" s="50">
        <f t="shared" si="190"/>
        <v>2.3573364601001926E-3</v>
      </c>
      <c r="AP180" s="50" t="str">
        <f t="shared" si="169"/>
        <v>1-0.00677776346600161i</v>
      </c>
      <c r="AQ180" s="50">
        <f t="shared" si="191"/>
        <v>1.0000229687750182</v>
      </c>
      <c r="AR180" s="50">
        <f t="shared" si="192"/>
        <v>-6.7776596830541273E-3</v>
      </c>
      <c r="AS180" s="59" t="str">
        <f t="shared" si="193"/>
        <v>22.1689221472439-43.7423310342913i</v>
      </c>
      <c r="AT180" s="50">
        <f t="shared" si="194"/>
        <v>33.810884684746839</v>
      </c>
      <c r="AU180" s="61">
        <f t="shared" si="195"/>
        <v>-63.123786527119663</v>
      </c>
      <c r="AV180" s="32" t="str">
        <f t="shared" si="170"/>
        <v>-0.0000333333333333333</v>
      </c>
      <c r="AW180" s="32" t="str">
        <f t="shared" si="171"/>
        <v>0.000125724844091224i</v>
      </c>
      <c r="AX180" s="32">
        <f t="shared" si="196"/>
        <v>1.2572484409122399E-4</v>
      </c>
      <c r="AY180" s="32">
        <f t="shared" si="197"/>
        <v>1.5707963267948966</v>
      </c>
      <c r="AZ180" s="32" t="str">
        <f t="shared" si="172"/>
        <v>1+0.0512939902108292i</v>
      </c>
      <c r="BA180" s="32">
        <f t="shared" si="198"/>
        <v>1.0013146725339386</v>
      </c>
      <c r="BB180" s="32">
        <f t="shared" si="199"/>
        <v>5.12490750097018E-2</v>
      </c>
      <c r="BC180" s="32" t="str">
        <f t="shared" si="173"/>
        <v>1+2.46211153011981i</v>
      </c>
      <c r="BD180" s="32">
        <f t="shared" si="200"/>
        <v>2.6574410975125886</v>
      </c>
      <c r="BE180" s="32">
        <f t="shared" si="201"/>
        <v>1.1849948218902862</v>
      </c>
      <c r="BF180" s="59" t="str">
        <f t="shared" si="202"/>
        <v>-0.637500928983776+0.297829214128404i</v>
      </c>
      <c r="BG180" s="50">
        <f t="shared" si="203"/>
        <v>-3.0529858676927217</v>
      </c>
      <c r="BH180" s="61">
        <f t="shared" si="204"/>
        <v>154.95884633716474</v>
      </c>
      <c r="BI180" s="59" t="str">
        <f t="shared" si="205"/>
        <v>0.010232728512801+5.72617295250878i</v>
      </c>
      <c r="BJ180" s="64">
        <f t="shared" si="206"/>
        <v>15.157303093800747</v>
      </c>
      <c r="BK180" s="61">
        <f t="shared" si="207"/>
        <v>89.897611976190561</v>
      </c>
      <c r="BL180" s="59" t="str">
        <f t="shared" si="211"/>
        <v>-1.10496438734952+34.488329331464i</v>
      </c>
      <c r="BM180" s="64">
        <f t="shared" si="208"/>
        <v>30.757898817054127</v>
      </c>
      <c r="BN180" s="61">
        <f t="shared" si="212"/>
        <v>91.835059810045067</v>
      </c>
      <c r="BO180" s="50">
        <f t="shared" si="209"/>
        <v>15.157303093800747</v>
      </c>
      <c r="BP180" s="61">
        <f t="shared" si="210"/>
        <v>89.897611976190561</v>
      </c>
    </row>
    <row r="181" spans="14:68" x14ac:dyDescent="0.25">
      <c r="N181" s="11">
        <v>63</v>
      </c>
      <c r="O181" s="51">
        <f t="shared" si="160"/>
        <v>426.57951880159294</v>
      </c>
      <c r="P181" s="49" t="str">
        <f t="shared" si="161"/>
        <v>37.1583961085025</v>
      </c>
      <c r="Q181" s="18" t="str">
        <f t="shared" si="162"/>
        <v>1+2.1008286083989i</v>
      </c>
      <c r="R181" s="18">
        <f t="shared" si="174"/>
        <v>2.3266888150045459</v>
      </c>
      <c r="S181" s="18">
        <f t="shared" si="175"/>
        <v>1.1265302300109352</v>
      </c>
      <c r="T181" s="18" t="str">
        <f t="shared" si="163"/>
        <v>1+0.00241225034839012i</v>
      </c>
      <c r="U181" s="18">
        <f t="shared" si="176"/>
        <v>1.0000029094716392</v>
      </c>
      <c r="V181" s="18">
        <f t="shared" si="177"/>
        <v>2.4122456694836659E-3</v>
      </c>
      <c r="W181" s="32" t="str">
        <f t="shared" si="164"/>
        <v>1-0.0211141704394678i</v>
      </c>
      <c r="X181" s="18">
        <f t="shared" si="178"/>
        <v>1.0002228792590915</v>
      </c>
      <c r="Y181" s="18">
        <f t="shared" si="179"/>
        <v>-2.1111033655075027E-2</v>
      </c>
      <c r="Z181" s="32" t="str">
        <f t="shared" si="165"/>
        <v>0.999995450747853+0.00508359425271843i</v>
      </c>
      <c r="AA181" s="18">
        <f t="shared" si="180"/>
        <v>1.0000083721884172</v>
      </c>
      <c r="AB181" s="18">
        <f t="shared" si="181"/>
        <v>5.0835735877993709E-3</v>
      </c>
      <c r="AC181" s="32" t="str">
        <f>IMDIV(IMSUM(COMPLEX(0,2*PI()*O181*Constants!$B$61*Constants!$B$62),COMPLEX(1,0)),IMSUM(COMPLEX(0,2*PI()*O181*Constants!$B$61*Constants!$B$62),COMPLEX(2,0)))</f>
        <v>0.500014367369228+0.00268020114778584i</v>
      </c>
      <c r="AD181" s="18">
        <f t="shared" si="182"/>
        <v>0.500021550589414</v>
      </c>
      <c r="AE181" s="18">
        <f t="shared" si="183"/>
        <v>5.3601969337728787E-3</v>
      </c>
      <c r="AF181" s="66" t="str">
        <f t="shared" si="184"/>
        <v>3.2994833243498-7.27398781174108i</v>
      </c>
      <c r="AG181" s="64">
        <f t="shared" si="185"/>
        <v>18.048035849693274</v>
      </c>
      <c r="AH181" s="61">
        <f t="shared" si="186"/>
        <v>-65.600939956873674</v>
      </c>
      <c r="AI181" s="50" t="str">
        <f t="shared" si="166"/>
        <v>107.538871525172</v>
      </c>
      <c r="AJ181" s="50" t="str">
        <f t="shared" si="167"/>
        <v>1+1.99715532090741i</v>
      </c>
      <c r="AK181" s="50">
        <f t="shared" si="187"/>
        <v>2.2335239814760843</v>
      </c>
      <c r="AL181" s="50">
        <f t="shared" si="188"/>
        <v>1.1065791339237674</v>
      </c>
      <c r="AM181" s="50" t="str">
        <f t="shared" si="168"/>
        <v>1+0.00241225034839012i</v>
      </c>
      <c r="AN181" s="50">
        <f t="shared" si="189"/>
        <v>1.0000029094716392</v>
      </c>
      <c r="AO181" s="50">
        <f t="shared" si="190"/>
        <v>2.4122456694836659E-3</v>
      </c>
      <c r="AP181" s="50" t="str">
        <f t="shared" si="169"/>
        <v>1-0.00693563785809596i</v>
      </c>
      <c r="AQ181" s="50">
        <f t="shared" si="191"/>
        <v>1.000024051247018</v>
      </c>
      <c r="AR181" s="50">
        <f t="shared" si="192"/>
        <v>-6.9355266528086284E-3</v>
      </c>
      <c r="AS181" s="59" t="str">
        <f t="shared" si="193"/>
        <v>21.362415698628-43.1505021682158i</v>
      </c>
      <c r="AT181" s="50">
        <f t="shared" si="194"/>
        <v>33.651731274371826</v>
      </c>
      <c r="AU181" s="61">
        <f t="shared" si="195"/>
        <v>-63.661478980970124</v>
      </c>
      <c r="AV181" s="32" t="str">
        <f t="shared" si="170"/>
        <v>-0.0000333333333333333</v>
      </c>
      <c r="AW181" s="32" t="str">
        <f t="shared" si="171"/>
        <v>0.00012865335191414i</v>
      </c>
      <c r="AX181" s="32">
        <f t="shared" si="196"/>
        <v>1.2865335191414E-4</v>
      </c>
      <c r="AY181" s="32">
        <f t="shared" si="197"/>
        <v>1.5707963267948966</v>
      </c>
      <c r="AZ181" s="32" t="str">
        <f t="shared" si="172"/>
        <v>1+0.0524887807288591i</v>
      </c>
      <c r="BA181" s="32">
        <f t="shared" si="198"/>
        <v>1.0013765885531789</v>
      </c>
      <c r="BB181" s="32">
        <f t="shared" si="199"/>
        <v>5.2440656796297176E-2</v>
      </c>
      <c r="BC181" s="32" t="str">
        <f t="shared" si="173"/>
        <v>1+2.51946147498524i</v>
      </c>
      <c r="BD181" s="32">
        <f t="shared" si="200"/>
        <v>2.7106615657316575</v>
      </c>
      <c r="BE181" s="32">
        <f t="shared" si="201"/>
        <v>1.1929563906037599</v>
      </c>
      <c r="BF181" s="59" t="str">
        <f t="shared" si="202"/>
        <v>-0.637422096904106+0.292551677909894i</v>
      </c>
      <c r="BG181" s="50">
        <f t="shared" si="203"/>
        <v>-3.0812899232026325</v>
      </c>
      <c r="BH181" s="61">
        <f t="shared" si="204"/>
        <v>155.34673801543371</v>
      </c>
      <c r="BI181" s="59" t="str">
        <f t="shared" si="205"/>
        <v>0.0248537601137913+5.60186994658916i</v>
      </c>
      <c r="BJ181" s="64">
        <f t="shared" si="206"/>
        <v>14.966745926490646</v>
      </c>
      <c r="BK181" s="61">
        <f t="shared" si="207"/>
        <v>89.745798058560055</v>
      </c>
      <c r="BL181" s="59" t="str">
        <f t="shared" si="211"/>
        <v>-0.993123997590599+33.7546941313716i</v>
      </c>
      <c r="BM181" s="64">
        <f t="shared" si="208"/>
        <v>30.570441351169197</v>
      </c>
      <c r="BN181" s="61">
        <f t="shared" si="212"/>
        <v>91.685259034463598</v>
      </c>
      <c r="BO181" s="50">
        <f t="shared" si="209"/>
        <v>14.966745926490646</v>
      </c>
      <c r="BP181" s="61">
        <f t="shared" si="210"/>
        <v>89.745798058560055</v>
      </c>
    </row>
    <row r="182" spans="14:68" x14ac:dyDescent="0.25">
      <c r="N182" s="11">
        <v>64</v>
      </c>
      <c r="O182" s="51">
        <f t="shared" si="160"/>
        <v>436.51583224016622</v>
      </c>
      <c r="P182" s="49" t="str">
        <f t="shared" si="161"/>
        <v>37.1583961085025</v>
      </c>
      <c r="Q182" s="18" t="str">
        <f t="shared" si="162"/>
        <v>1+2.14976319295752i</v>
      </c>
      <c r="R182" s="18">
        <f t="shared" si="174"/>
        <v>2.37096642443433</v>
      </c>
      <c r="S182" s="18">
        <f t="shared" si="175"/>
        <v>1.1354009300796049</v>
      </c>
      <c r="T182" s="18" t="str">
        <f t="shared" si="163"/>
        <v>1+0.00246843887713441i</v>
      </c>
      <c r="U182" s="18">
        <f t="shared" si="176"/>
        <v>1.0000030465906042</v>
      </c>
      <c r="V182" s="18">
        <f t="shared" si="177"/>
        <v>2.468433863596642E-3</v>
      </c>
      <c r="W182" s="32" t="str">
        <f t="shared" si="164"/>
        <v>1-0.0216059826485289i</v>
      </c>
      <c r="X182" s="18">
        <f t="shared" si="178"/>
        <v>1.0002333820095231</v>
      </c>
      <c r="Y182" s="18">
        <f t="shared" si="179"/>
        <v>-2.1602621565850327E-2</v>
      </c>
      <c r="Z182" s="32" t="str">
        <f t="shared" si="165"/>
        <v>0.999995236348205+0.00520200637440548i</v>
      </c>
      <c r="AA182" s="18">
        <f t="shared" si="180"/>
        <v>1.0000087667562829</v>
      </c>
      <c r="AB182" s="18">
        <f t="shared" si="181"/>
        <v>5.2019842315551871E-3</v>
      </c>
      <c r="AC182" s="32" t="str">
        <f>IMDIV(IMSUM(COMPLEX(0,2*PI()*O182*Constants!$B$61*Constants!$B$62),COMPLEX(1,0)),IMSUM(COMPLEX(0,2*PI()*O182*Constants!$B$61*Constants!$B$62),COMPLEX(2,0)))</f>
        <v>0.500015044462105+0.00274262733829346i</v>
      </c>
      <c r="AD182" s="18">
        <f t="shared" si="182"/>
        <v>0.50002256618392493</v>
      </c>
      <c r="AE182" s="18">
        <f t="shared" si="183"/>
        <v>5.4850346286170748E-3</v>
      </c>
      <c r="AF182" s="66" t="str">
        <f t="shared" si="184"/>
        <v>3.17138317924913-7.16803664028616i</v>
      </c>
      <c r="AG182" s="64">
        <f t="shared" si="185"/>
        <v>17.884400423599423</v>
      </c>
      <c r="AH182" s="61">
        <f t="shared" si="186"/>
        <v>-66.133771955398728</v>
      </c>
      <c r="AI182" s="50" t="str">
        <f t="shared" si="166"/>
        <v>107.538871525172</v>
      </c>
      <c r="AJ182" s="50" t="str">
        <f t="shared" si="167"/>
        <v>1+2.04367504438077i</v>
      </c>
      <c r="AK182" s="50">
        <f t="shared" si="187"/>
        <v>2.2752159649195378</v>
      </c>
      <c r="AL182" s="50">
        <f t="shared" si="188"/>
        <v>1.1157335351698356</v>
      </c>
      <c r="AM182" s="50" t="str">
        <f t="shared" si="168"/>
        <v>1+0.00246843887713441i</v>
      </c>
      <c r="AN182" s="50">
        <f t="shared" si="189"/>
        <v>1.0000030465906042</v>
      </c>
      <c r="AO182" s="50">
        <f t="shared" si="190"/>
        <v>2.468433863596642E-3</v>
      </c>
      <c r="AP182" s="50" t="str">
        <f t="shared" si="169"/>
        <v>1-0.00709718961718668i</v>
      </c>
      <c r="AQ182" s="50">
        <f t="shared" si="191"/>
        <v>1.0000251847330959</v>
      </c>
      <c r="AR182" s="50">
        <f t="shared" si="192"/>
        <v>-7.0970704587365336E-3</v>
      </c>
      <c r="AS182" s="59" t="str">
        <f t="shared" si="193"/>
        <v>20.5778533974405-42.5522160864317i</v>
      </c>
      <c r="AT182" s="50">
        <f t="shared" si="194"/>
        <v>33.491102178957263</v>
      </c>
      <c r="AU182" s="61">
        <f t="shared" si="195"/>
        <v>-64.192023968244087</v>
      </c>
      <c r="AV182" s="32" t="str">
        <f t="shared" si="170"/>
        <v>-0.0000333333333333333</v>
      </c>
      <c r="AW182" s="32" t="str">
        <f t="shared" si="171"/>
        <v>0.000131650073447169i</v>
      </c>
      <c r="AX182" s="32">
        <f t="shared" si="196"/>
        <v>1.31650073447169E-4</v>
      </c>
      <c r="AY182" s="32">
        <f t="shared" si="197"/>
        <v>1.5707963267948966</v>
      </c>
      <c r="AZ182" s="32" t="str">
        <f t="shared" si="172"/>
        <v>1+0.0537114014932025i</v>
      </c>
      <c r="BA182" s="32">
        <f t="shared" si="198"/>
        <v>1.0014414184815625</v>
      </c>
      <c r="BB182" s="32">
        <f t="shared" si="199"/>
        <v>5.3659839778154632E-2</v>
      </c>
      <c r="BC182" s="32" t="str">
        <f t="shared" si="173"/>
        <v>1+2.57814727167373i</v>
      </c>
      <c r="BD182" s="32">
        <f t="shared" si="200"/>
        <v>2.7652926345033899</v>
      </c>
      <c r="BE182" s="32">
        <f t="shared" si="201"/>
        <v>1.2007856565713975</v>
      </c>
      <c r="BF182" s="59" t="str">
        <f t="shared" si="202"/>
        <v>-0.637339570476616+0.287428867465234i</v>
      </c>
      <c r="BG182" s="50">
        <f t="shared" si="203"/>
        <v>-3.1085362587109513</v>
      </c>
      <c r="BH182" s="61">
        <f t="shared" si="204"/>
        <v>155.7254678727501</v>
      </c>
      <c r="BI182" s="59" t="str">
        <f t="shared" si="205"/>
        <v>0.039052660187346+5.4800204689905i</v>
      </c>
      <c r="BJ182" s="64">
        <f t="shared" si="206"/>
        <v>14.775864164888475</v>
      </c>
      <c r="BK182" s="61">
        <f t="shared" si="207"/>
        <v>89.591695917351373</v>
      </c>
      <c r="BL182" s="59" t="str">
        <f t="shared" si="211"/>
        <v>-0.884344967796528+33.0348802202465i</v>
      </c>
      <c r="BM182" s="64">
        <f t="shared" si="208"/>
        <v>30.382565920246314</v>
      </c>
      <c r="BN182" s="61">
        <f t="shared" si="212"/>
        <v>91.533443904506001</v>
      </c>
      <c r="BO182" s="50">
        <f t="shared" si="209"/>
        <v>14.775864164888475</v>
      </c>
      <c r="BP182" s="61">
        <f t="shared" si="210"/>
        <v>89.591695917351373</v>
      </c>
    </row>
    <row r="183" spans="14:68" x14ac:dyDescent="0.25">
      <c r="N183" s="11">
        <v>65</v>
      </c>
      <c r="O183" s="51">
        <f t="shared" si="160"/>
        <v>446.68359215096331</v>
      </c>
      <c r="P183" s="49" t="str">
        <f t="shared" si="161"/>
        <v>37.1583961085025</v>
      </c>
      <c r="Q183" s="18" t="str">
        <f t="shared" si="162"/>
        <v>1+2.19983761041653i</v>
      </c>
      <c r="R183" s="18">
        <f t="shared" si="174"/>
        <v>2.4164613616201498</v>
      </c>
      <c r="S183" s="18">
        <f t="shared" si="175"/>
        <v>1.1441410255313627</v>
      </c>
      <c r="T183" s="18" t="str">
        <f t="shared" si="163"/>
        <v>1+0.00252593620484502i</v>
      </c>
      <c r="U183" s="18">
        <f t="shared" si="176"/>
        <v>1.0000031901717668</v>
      </c>
      <c r="V183" s="18">
        <f t="shared" si="177"/>
        <v>2.5259308327434398E-3</v>
      </c>
      <c r="W183" s="32" t="str">
        <f t="shared" si="164"/>
        <v>1-0.0221092506355791i</v>
      </c>
      <c r="X183" s="18">
        <f t="shared" si="178"/>
        <v>1.0002443796211338</v>
      </c>
      <c r="Y183" s="18">
        <f t="shared" si="179"/>
        <v>-2.210564921812375E-2</v>
      </c>
      <c r="Z183" s="32" t="str">
        <f t="shared" si="165"/>
        <v>0.999995011844213+0.00532317666872894i</v>
      </c>
      <c r="AA183" s="18">
        <f t="shared" si="180"/>
        <v>1.0000091799194417</v>
      </c>
      <c r="AB183" s="18">
        <f t="shared" si="181"/>
        <v>5.3231529422479457E-3</v>
      </c>
      <c r="AC183" s="32" t="str">
        <f>IMDIV(IMSUM(COMPLEX(0,2*PI()*O183*Constants!$B$61*Constants!$B$62),COMPLEX(1,0)),IMSUM(COMPLEX(0,2*PI()*O183*Constants!$B$61*Constants!$B$62),COMPLEX(2,0)))</f>
        <v>0.500015753463421+0.00280650735595311i</v>
      </c>
      <c r="AD183" s="18">
        <f t="shared" si="182"/>
        <v>0.50002362963677183</v>
      </c>
      <c r="AE183" s="18">
        <f t="shared" si="183"/>
        <v>5.612778927562366E-3</v>
      </c>
      <c r="AF183" s="66" t="str">
        <f t="shared" si="184"/>
        <v>3.04702721404448-7.06143965838185i</v>
      </c>
      <c r="AG183" s="64">
        <f t="shared" si="185"/>
        <v>17.719423028682961</v>
      </c>
      <c r="AH183" s="61">
        <f t="shared" si="186"/>
        <v>-66.659692811658033</v>
      </c>
      <c r="AI183" s="50" t="str">
        <f t="shared" si="166"/>
        <v>107.538871525172</v>
      </c>
      <c r="AJ183" s="50" t="str">
        <f t="shared" si="167"/>
        <v>1+2.0912783514139i</v>
      </c>
      <c r="AK183" s="50">
        <f t="shared" si="187"/>
        <v>2.3180692705552266</v>
      </c>
      <c r="AL183" s="50">
        <f t="shared" si="188"/>
        <v>1.1247595072362817</v>
      </c>
      <c r="AM183" s="50" t="str">
        <f t="shared" si="168"/>
        <v>1+0.00252593620484502i</v>
      </c>
      <c r="AN183" s="50">
        <f t="shared" si="189"/>
        <v>1.0000031901717668</v>
      </c>
      <c r="AO183" s="50">
        <f t="shared" si="190"/>
        <v>2.5259308327434398E-3</v>
      </c>
      <c r="AP183" s="50" t="str">
        <f t="shared" si="169"/>
        <v>1-0.00726250440015486i</v>
      </c>
      <c r="AQ183" s="50">
        <f t="shared" si="191"/>
        <v>1.0000263716373494</v>
      </c>
      <c r="AR183" s="50">
        <f t="shared" si="192"/>
        <v>-7.2623767197569971E-3</v>
      </c>
      <c r="AS183" s="59" t="str">
        <f t="shared" si="193"/>
        <v>19.8151496920429-41.9483587796208i</v>
      </c>
      <c r="AT183" s="50">
        <f t="shared" si="194"/>
        <v>33.329038068485055</v>
      </c>
      <c r="AU183" s="61">
        <f t="shared" si="195"/>
        <v>-64.715351091071099</v>
      </c>
      <c r="AV183" s="32" t="str">
        <f t="shared" si="170"/>
        <v>-0.0000333333333333333</v>
      </c>
      <c r="AW183" s="32" t="str">
        <f t="shared" si="171"/>
        <v>0.000134716597591734i</v>
      </c>
      <c r="AX183" s="32">
        <f t="shared" si="196"/>
        <v>1.3471659759173399E-4</v>
      </c>
      <c r="AY183" s="32">
        <f t="shared" si="197"/>
        <v>1.5707963267948966</v>
      </c>
      <c r="AZ183" s="32" t="str">
        <f t="shared" si="172"/>
        <v>1+0.0549625007535722i</v>
      </c>
      <c r="BA183" s="32">
        <f t="shared" si="198"/>
        <v>1.0015092992524266</v>
      </c>
      <c r="BB183" s="32">
        <f t="shared" si="199"/>
        <v>5.4907255876389754E-2</v>
      </c>
      <c r="BC183" s="32" t="str">
        <f t="shared" si="173"/>
        <v>1+2.63820003617147i</v>
      </c>
      <c r="BD183" s="32">
        <f t="shared" si="200"/>
        <v>2.8213648170442522</v>
      </c>
      <c r="BE183" s="32">
        <f t="shared" si="201"/>
        <v>1.2084829306358129</v>
      </c>
      <c r="BF183" s="59" t="str">
        <f t="shared" si="202"/>
        <v>-0.637253177598939+0.282458038953628i</v>
      </c>
      <c r="BG183" s="50">
        <f t="shared" si="203"/>
        <v>-3.1347620064651442</v>
      </c>
      <c r="BH183" s="61">
        <f t="shared" si="204"/>
        <v>156.09501751267109</v>
      </c>
      <c r="BI183" s="59" t="str">
        <f t="shared" si="205"/>
        <v>0.0528326237156269+5.36058219224434i</v>
      </c>
      <c r="BJ183" s="64">
        <f t="shared" si="206"/>
        <v>14.584661022217817</v>
      </c>
      <c r="BK183" s="61">
        <f t="shared" si="207"/>
        <v>89.435324701013073</v>
      </c>
      <c r="BL183" s="59" t="str">
        <f t="shared" si="211"/>
        <v>-0.778615947638082+32.3286732509607i</v>
      </c>
      <c r="BM183" s="64">
        <f t="shared" si="208"/>
        <v>30.194276062019906</v>
      </c>
      <c r="BN183" s="61">
        <f t="shared" si="212"/>
        <v>91.379666421599993</v>
      </c>
      <c r="BO183" s="50">
        <f t="shared" si="209"/>
        <v>14.584661022217817</v>
      </c>
      <c r="BP183" s="61">
        <f t="shared" si="210"/>
        <v>89.435324701013073</v>
      </c>
    </row>
    <row r="184" spans="14:68" x14ac:dyDescent="0.25">
      <c r="N184" s="11">
        <v>66</v>
      </c>
      <c r="O184" s="51">
        <f t="shared" ref="O184:O218" si="213">10^(2+(N184/100))</f>
        <v>457.0881896148756</v>
      </c>
      <c r="P184" s="49" t="str">
        <f t="shared" si="161"/>
        <v>37.1583961085025</v>
      </c>
      <c r="Q184" s="18" t="str">
        <f t="shared" si="162"/>
        <v>1+2.25107841089488i</v>
      </c>
      <c r="R184" s="18">
        <f t="shared" si="174"/>
        <v>2.4631999537181346</v>
      </c>
      <c r="S184" s="18">
        <f t="shared" si="175"/>
        <v>1.1527498082570606</v>
      </c>
      <c r="T184" s="18" t="str">
        <f t="shared" si="163"/>
        <v>1+0.00258477281736615i</v>
      </c>
      <c r="U184" s="18">
        <f t="shared" si="176"/>
        <v>1.0000033405196793</v>
      </c>
      <c r="V184" s="18">
        <f t="shared" si="177"/>
        <v>2.5847670610566354E-3</v>
      </c>
      <c r="W184" s="32" t="str">
        <f t="shared" si="164"/>
        <v>1-0.022624241239967i</v>
      </c>
      <c r="X184" s="18">
        <f t="shared" si="178"/>
        <v>1.000255895404613</v>
      </c>
      <c r="Y184" s="18">
        <f t="shared" si="179"/>
        <v>-2.2620382304955371E-2</v>
      </c>
      <c r="Z184" s="32" t="str">
        <f t="shared" si="165"/>
        <v>0.999994776759673+0.00544716938178273i</v>
      </c>
      <c r="AA184" s="18">
        <f t="shared" si="180"/>
        <v>1.0000096125542504</v>
      </c>
      <c r="AB184" s="18">
        <f t="shared" si="181"/>
        <v>5.4471439584121636E-3</v>
      </c>
      <c r="AC184" s="32" t="str">
        <f>IMDIV(IMSUM(COMPLEX(0,2*PI()*O184*Constants!$B$61*Constants!$B$62),COMPLEX(1,0)),IMSUM(COMPLEX(0,2*PI()*O184*Constants!$B$61*Constants!$B$62),COMPLEX(2,0)))</f>
        <v>0.500016495876785+0.0028718750457537i</v>
      </c>
      <c r="AD184" s="18">
        <f t="shared" si="182"/>
        <v>0.50002474320295132</v>
      </c>
      <c r="AE184" s="18">
        <f t="shared" si="183"/>
        <v>5.7434974454940819E-3</v>
      </c>
      <c r="AF184" s="66" t="str">
        <f t="shared" si="184"/>
        <v>2.926379746032-6.95433579873834i</v>
      </c>
      <c r="AG184" s="64">
        <f t="shared" si="185"/>
        <v>17.553143671843955</v>
      </c>
      <c r="AH184" s="61">
        <f t="shared" si="186"/>
        <v>-67.178675237014119</v>
      </c>
      <c r="AI184" s="50" t="str">
        <f t="shared" si="166"/>
        <v>107.538871525172</v>
      </c>
      <c r="AJ184" s="50" t="str">
        <f t="shared" si="167"/>
        <v>1+2.13999048191029i</v>
      </c>
      <c r="AK184" s="50">
        <f t="shared" si="187"/>
        <v>2.3621090708658303</v>
      </c>
      <c r="AL184" s="50">
        <f t="shared" si="188"/>
        <v>1.133655952195203</v>
      </c>
      <c r="AM184" s="50" t="str">
        <f t="shared" si="168"/>
        <v>1+0.00258477281736615i</v>
      </c>
      <c r="AN184" s="50">
        <f t="shared" si="189"/>
        <v>1.0000033405196793</v>
      </c>
      <c r="AO184" s="50">
        <f t="shared" si="190"/>
        <v>2.5847670610566354E-3</v>
      </c>
      <c r="AP184" s="50" t="str">
        <f t="shared" si="169"/>
        <v>1-0.00743166985908661i</v>
      </c>
      <c r="AQ184" s="50">
        <f t="shared" si="191"/>
        <v>1.0000276144771676</v>
      </c>
      <c r="AR184" s="50">
        <f t="shared" si="192"/>
        <v>-7.4315330472794379E-3</v>
      </c>
      <c r="AS184" s="59" t="str">
        <f t="shared" si="193"/>
        <v>19.0741786860928-41.33979067676i</v>
      </c>
      <c r="AT184" s="50">
        <f t="shared" si="194"/>
        <v>33.165579417449898</v>
      </c>
      <c r="AU184" s="61">
        <f t="shared" si="195"/>
        <v>-65.231400715967865</v>
      </c>
      <c r="AV184" s="32" t="str">
        <f t="shared" si="170"/>
        <v>-0.0000333333333333333</v>
      </c>
      <c r="AW184" s="32" t="str">
        <f t="shared" si="171"/>
        <v>0.000137854550259528i</v>
      </c>
      <c r="AX184" s="32">
        <f t="shared" si="196"/>
        <v>1.3785455025952799E-4</v>
      </c>
      <c r="AY184" s="32">
        <f t="shared" si="197"/>
        <v>1.5707963267948966</v>
      </c>
      <c r="AZ184" s="32" t="str">
        <f t="shared" si="172"/>
        <v>1+0.0562427418593561i</v>
      </c>
      <c r="BA184" s="32">
        <f t="shared" si="198"/>
        <v>1.0015803742146001</v>
      </c>
      <c r="BB184" s="32">
        <f t="shared" si="199"/>
        <v>5.6183550950425161E-2</v>
      </c>
      <c r="BC184" s="32" t="str">
        <f t="shared" si="173"/>
        <v>1+2.6996516092491i</v>
      </c>
      <c r="BD184" s="32">
        <f t="shared" si="200"/>
        <v>2.8789093093255391</v>
      </c>
      <c r="BE184" s="32">
        <f t="shared" si="201"/>
        <v>1.2160486445925685</v>
      </c>
      <c r="BF184" s="59" t="str">
        <f t="shared" si="202"/>
        <v>-0.637162738250069+0.277636527158635i</v>
      </c>
      <c r="BG184" s="50">
        <f t="shared" si="203"/>
        <v>-3.1600036484648792</v>
      </c>
      <c r="BH184" s="61">
        <f t="shared" si="204"/>
        <v>156.45537467024079</v>
      </c>
      <c r="BI184" s="59" t="str">
        <f t="shared" si="205"/>
        <v>0.0661975077153945+5.24351355007029i</v>
      </c>
      <c r="BJ184" s="64">
        <f t="shared" si="206"/>
        <v>14.393140023379068</v>
      </c>
      <c r="BK184" s="61">
        <f t="shared" si="207"/>
        <v>89.276699433226696</v>
      </c>
      <c r="BL184" s="59" t="str">
        <f t="shared" si="211"/>
        <v>-0.675920004541425+31.6358629550991i</v>
      </c>
      <c r="BM184" s="64">
        <f t="shared" si="208"/>
        <v>30.005575768985011</v>
      </c>
      <c r="BN184" s="61">
        <f t="shared" si="212"/>
        <v>91.22397395427295</v>
      </c>
      <c r="BO184" s="50">
        <f t="shared" si="209"/>
        <v>14.393140023379068</v>
      </c>
      <c r="BP184" s="61">
        <f t="shared" si="210"/>
        <v>89.276699433226696</v>
      </c>
    </row>
    <row r="185" spans="14:68" x14ac:dyDescent="0.25">
      <c r="N185" s="11">
        <v>67</v>
      </c>
      <c r="O185" s="51">
        <f t="shared" si="213"/>
        <v>467.7351412871983</v>
      </c>
      <c r="P185" s="49" t="str">
        <f t="shared" si="161"/>
        <v>37.1583961085025</v>
      </c>
      <c r="Q185" s="18" t="str">
        <f t="shared" si="162"/>
        <v>1+2.30351276294322i</v>
      </c>
      <c r="R185" s="18">
        <f t="shared" si="174"/>
        <v>2.5112090811086021</v>
      </c>
      <c r="S185" s="18">
        <f t="shared" si="175"/>
        <v>1.1612267376536483</v>
      </c>
      <c r="T185" s="18" t="str">
        <f t="shared" si="163"/>
        <v>1+0.00264497991064856i</v>
      </c>
      <c r="U185" s="18">
        <f t="shared" si="176"/>
        <v>1.0000034979532459</v>
      </c>
      <c r="V185" s="18">
        <f t="shared" si="177"/>
        <v>2.6449737426529531E-3</v>
      </c>
      <c r="W185" s="32" t="str">
        <f t="shared" si="164"/>
        <v>1-0.0231512275165274i</v>
      </c>
      <c r="X185" s="18">
        <f t="shared" si="178"/>
        <v>1.00026795376815</v>
      </c>
      <c r="Y185" s="18">
        <f t="shared" si="179"/>
        <v>-2.3147092652986544E-2</v>
      </c>
      <c r="Z185" s="32" t="str">
        <f t="shared" si="165"/>
        <v>0.99999453059594+0.00557405025614455i</v>
      </c>
      <c r="AA185" s="18">
        <f t="shared" si="180"/>
        <v>1.0000100655783684</v>
      </c>
      <c r="AB185" s="18">
        <f t="shared" si="181"/>
        <v>5.5740230145254919E-3</v>
      </c>
      <c r="AC185" s="32" t="str">
        <f>IMDIV(IMSUM(COMPLEX(0,2*PI()*O185*Constants!$B$61*Constants!$B$62),COMPLEX(1,0)),IMSUM(COMPLEX(0,2*PI()*O185*Constants!$B$61*Constants!$B$62),COMPLEX(2,0)))</f>
        <v>0.500017273276649+0.00293876503967679i</v>
      </c>
      <c r="AD185" s="18">
        <f t="shared" si="182"/>
        <v>0.50002590924368462</v>
      </c>
      <c r="AE185" s="18">
        <f t="shared" si="183"/>
        <v>5.8772593659144178E-3</v>
      </c>
      <c r="AF185" s="66" t="str">
        <f t="shared" si="184"/>
        <v>2.80939956116673-6.84685880234697i</v>
      </c>
      <c r="AG185" s="64">
        <f t="shared" si="185"/>
        <v>17.385601960409179</v>
      </c>
      <c r="AH185" s="61">
        <f t="shared" si="186"/>
        <v>-67.690701846807272</v>
      </c>
      <c r="AI185" s="50" t="str">
        <f t="shared" si="166"/>
        <v>107.538871525172</v>
      </c>
      <c r="AJ185" s="50" t="str">
        <f t="shared" si="167"/>
        <v>1+2.18983726368632i</v>
      </c>
      <c r="AK185" s="50">
        <f t="shared" si="187"/>
        <v>2.4073610534004217</v>
      </c>
      <c r="AL185" s="50">
        <f t="shared" si="188"/>
        <v>1.1424219530571278</v>
      </c>
      <c r="AM185" s="50" t="str">
        <f t="shared" si="168"/>
        <v>1+0.00264497991064856i</v>
      </c>
      <c r="AN185" s="50">
        <f t="shared" si="189"/>
        <v>1.0000034979532459</v>
      </c>
      <c r="AO185" s="50">
        <f t="shared" si="190"/>
        <v>2.6449737426529531E-3</v>
      </c>
      <c r="AP185" s="50" t="str">
        <f t="shared" si="169"/>
        <v>1-0.00760477568774742i</v>
      </c>
      <c r="AQ185" s="50">
        <f t="shared" si="191"/>
        <v>1.0000289158885662</v>
      </c>
      <c r="AR185" s="50">
        <f t="shared" si="192"/>
        <v>-7.6046290914837849E-3</v>
      </c>
      <c r="AS185" s="59" t="str">
        <f t="shared" si="193"/>
        <v>18.3547767973853-40.7273450384238i</v>
      </c>
      <c r="AT185" s="50">
        <f t="shared" si="194"/>
        <v>33.000766432510517</v>
      </c>
      <c r="AU185" s="61">
        <f t="shared" si="195"/>
        <v>-65.74012365259351</v>
      </c>
      <c r="AV185" s="32" t="str">
        <f t="shared" si="170"/>
        <v>-0.0000333333333333333</v>
      </c>
      <c r="AW185" s="32" t="str">
        <f t="shared" si="171"/>
        <v>0.00014106559523459i</v>
      </c>
      <c r="AX185" s="32">
        <f t="shared" si="196"/>
        <v>1.4106559523459E-4</v>
      </c>
      <c r="AY185" s="32">
        <f t="shared" si="197"/>
        <v>1.5707963267948966</v>
      </c>
      <c r="AZ185" s="32" t="str">
        <f t="shared" si="172"/>
        <v>1+0.0575528036113345i</v>
      </c>
      <c r="BA185" s="32">
        <f t="shared" si="198"/>
        <v>1.0016547934311126</v>
      </c>
      <c r="BB185" s="32">
        <f t="shared" si="199"/>
        <v>5.7489385067429712E-2</v>
      </c>
      <c r="BC185" s="32" t="str">
        <f t="shared" si="173"/>
        <v>1+2.76253457334406i</v>
      </c>
      <c r="BD185" s="32">
        <f t="shared" si="200"/>
        <v>2.9379580100677485</v>
      </c>
      <c r="BE185" s="32">
        <f t="shared" si="201"/>
        <v>1.2234833443917228</v>
      </c>
      <c r="BF185" s="59" t="str">
        <f t="shared" si="202"/>
        <v>-0.637068064135546+0.272961743937355i</v>
      </c>
      <c r="BG185" s="50">
        <f t="shared" si="203"/>
        <v>-3.1842969934662508</v>
      </c>
      <c r="BH185" s="61">
        <f t="shared" si="204"/>
        <v>156.80653280703064</v>
      </c>
      <c r="BI185" s="59" t="str">
        <f t="shared" si="205"/>
        <v>0.0791517793657179+5.12877368625352i</v>
      </c>
      <c r="BJ185" s="64">
        <f t="shared" si="206"/>
        <v>14.201304966942933</v>
      </c>
      <c r="BK185" s="61">
        <f t="shared" si="207"/>
        <v>89.115830960223363</v>
      </c>
      <c r="BL185" s="59" t="str">
        <f t="shared" si="211"/>
        <v>-0.576234994323745+30.9562427452043i</v>
      </c>
      <c r="BM185" s="64">
        <f t="shared" si="208"/>
        <v>29.816469439044269</v>
      </c>
      <c r="BN185" s="61">
        <f t="shared" si="212"/>
        <v>91.066409154437125</v>
      </c>
      <c r="BO185" s="50">
        <f t="shared" si="209"/>
        <v>14.201304966942933</v>
      </c>
      <c r="BP185" s="61">
        <f t="shared" si="210"/>
        <v>89.115830960223363</v>
      </c>
    </row>
    <row r="186" spans="14:68" x14ac:dyDescent="0.25">
      <c r="N186" s="11">
        <v>68</v>
      </c>
      <c r="O186" s="51">
        <f t="shared" si="213"/>
        <v>478.63009232263886</v>
      </c>
      <c r="P186" s="49" t="str">
        <f t="shared" si="161"/>
        <v>37.1583961085025</v>
      </c>
      <c r="Q186" s="18" t="str">
        <f t="shared" si="162"/>
        <v>1+2.35716846794908i</v>
      </c>
      <c r="R186" s="18">
        <f t="shared" si="174"/>
        <v>2.5605161952804387</v>
      </c>
      <c r="S186" s="18">
        <f t="shared" si="175"/>
        <v>1.1695714341494243</v>
      </c>
      <c r="T186" s="18" t="str">
        <f t="shared" si="163"/>
        <v>1+0.00270658940729005i</v>
      </c>
      <c r="U186" s="18">
        <f t="shared" si="176"/>
        <v>1.0000036628064017</v>
      </c>
      <c r="V186" s="18">
        <f t="shared" si="177"/>
        <v>2.7065827981649902E-3</v>
      </c>
      <c r="W186" s="32" t="str">
        <f t="shared" si="164"/>
        <v>1-0.0236904888803599i</v>
      </c>
      <c r="X186" s="18">
        <f t="shared" si="178"/>
        <v>1.0002805802690515</v>
      </c>
      <c r="Y186" s="18">
        <f t="shared" si="179"/>
        <v>-2.36860583613701E-2</v>
      </c>
      <c r="Z186" s="32" t="str">
        <f t="shared" si="165"/>
        <v>0.999994272830868+0.00570388656573347i</v>
      </c>
      <c r="AA186" s="18">
        <f t="shared" si="180"/>
        <v>1.0000105399527004</v>
      </c>
      <c r="AB186" s="18">
        <f t="shared" si="181"/>
        <v>5.7038573758276759E-3</v>
      </c>
      <c r="AC186" s="32" t="str">
        <f>IMDIV(IMSUM(COMPLEX(0,2*PI()*O186*Constants!$B$61*Constants!$B$62),COMPLEX(1,0)),IMSUM(COMPLEX(0,2*PI()*O186*Constants!$B$61*Constants!$B$62),COMPLEX(2,0)))</f>
        <v>0.500018087311649+0.00300721277493092i</v>
      </c>
      <c r="AD186" s="18">
        <f t="shared" si="182"/>
        <v>0.50002713023142398</v>
      </c>
      <c r="AE186" s="18">
        <f t="shared" si="183"/>
        <v>6.0141354770273624E-3</v>
      </c>
      <c r="AF186" s="66" t="str">
        <f t="shared" si="184"/>
        <v>2.69604037403349-6.7391370684693i</v>
      </c>
      <c r="AG186" s="64">
        <f t="shared" si="185"/>
        <v>17.216837046087498</v>
      </c>
      <c r="AH186" s="61">
        <f t="shared" si="186"/>
        <v>-68.19576479632029</v>
      </c>
      <c r="AI186" s="50" t="str">
        <f t="shared" si="166"/>
        <v>107.538871525172</v>
      </c>
      <c r="AJ186" s="50" t="str">
        <f t="shared" si="167"/>
        <v>1+2.24084512616547i</v>
      </c>
      <c r="AK186" s="50">
        <f t="shared" si="187"/>
        <v>2.4538514379357892</v>
      </c>
      <c r="AL186" s="50">
        <f t="shared" si="188"/>
        <v>1.1510567678169561</v>
      </c>
      <c r="AM186" s="50" t="str">
        <f t="shared" si="168"/>
        <v>1+0.00270658940729005i</v>
      </c>
      <c r="AN186" s="50">
        <f t="shared" si="189"/>
        <v>1.0000036628064017</v>
      </c>
      <c r="AO186" s="50">
        <f t="shared" si="190"/>
        <v>2.7065827981649902E-3</v>
      </c>
      <c r="AP186" s="50" t="str">
        <f t="shared" si="169"/>
        <v>1-0.00778191366913899i</v>
      </c>
      <c r="AQ186" s="50">
        <f t="shared" si="191"/>
        <v>1.0000302786317792</v>
      </c>
      <c r="AR186" s="50">
        <f t="shared" si="192"/>
        <v>-7.7817565886692973E-3</v>
      </c>
      <c r="AS186" s="59" t="str">
        <f t="shared" si="193"/>
        <v>17.6567454338647-40.1118265931637i</v>
      </c>
      <c r="AT186" s="50">
        <f t="shared" si="194"/>
        <v>32.834638985096042</v>
      </c>
      <c r="AU186" s="61">
        <f t="shared" si="195"/>
        <v>-66.241480814372821</v>
      </c>
      <c r="AV186" s="32" t="str">
        <f t="shared" si="170"/>
        <v>-0.0000333333333333333</v>
      </c>
      <c r="AW186" s="32" t="str">
        <f t="shared" si="171"/>
        <v>0.000144351435055469i</v>
      </c>
      <c r="AX186" s="32">
        <f t="shared" si="196"/>
        <v>1.44351435055469E-4</v>
      </c>
      <c r="AY186" s="32">
        <f t="shared" si="197"/>
        <v>1.5707963267948966</v>
      </c>
      <c r="AZ186" s="32" t="str">
        <f t="shared" si="172"/>
        <v>1+0.0588933806215891i</v>
      </c>
      <c r="BA186" s="32">
        <f t="shared" si="198"/>
        <v>1.0017327139916312</v>
      </c>
      <c r="BB186" s="32">
        <f t="shared" si="199"/>
        <v>5.8825432774159761E-2</v>
      </c>
      <c r="BC186" s="32" t="str">
        <f t="shared" si="173"/>
        <v>1+2.82688226983628i</v>
      </c>
      <c r="BD186" s="32">
        <f t="shared" si="200"/>
        <v>2.9985435410403358</v>
      </c>
      <c r="BE186" s="32">
        <f t="shared" si="201"/>
        <v>1.2307876834199161</v>
      </c>
      <c r="BF186" s="59" t="str">
        <f t="shared" si="202"/>
        <v>-0.636968958317633+0.268431176700915i</v>
      </c>
      <c r="BG186" s="50">
        <f t="shared" si="203"/>
        <v>-3.2076771579539152</v>
      </c>
      <c r="BH186" s="61">
        <f t="shared" si="204"/>
        <v>157.14849071065504</v>
      </c>
      <c r="BI186" s="59" t="str">
        <f t="shared" si="205"/>
        <v>0.0917004646075752+5.01632240849762i</v>
      </c>
      <c r="BJ186" s="64">
        <f t="shared" si="206"/>
        <v>14.009159888133581</v>
      </c>
      <c r="BK186" s="61">
        <f t="shared" si="207"/>
        <v>88.952725914334749</v>
      </c>
      <c r="BL186" s="59" t="str">
        <f t="shared" si="211"/>
        <v>-0.479533934262436+30.2896093547858i</v>
      </c>
      <c r="BM186" s="64">
        <f t="shared" si="208"/>
        <v>29.626961827142125</v>
      </c>
      <c r="BN186" s="61">
        <f t="shared" si="212"/>
        <v>90.907009896282204</v>
      </c>
      <c r="BO186" s="50">
        <f t="shared" si="209"/>
        <v>14.009159888133581</v>
      </c>
      <c r="BP186" s="61">
        <f t="shared" si="210"/>
        <v>88.952725914334749</v>
      </c>
    </row>
    <row r="187" spans="14:68" x14ac:dyDescent="0.25">
      <c r="N187" s="11">
        <v>69</v>
      </c>
      <c r="O187" s="51">
        <f t="shared" si="213"/>
        <v>489.77881936844625</v>
      </c>
      <c r="P187" s="49" t="str">
        <f t="shared" si="161"/>
        <v>37.1583961085025</v>
      </c>
      <c r="Q187" s="18" t="str">
        <f t="shared" si="162"/>
        <v>1+2.41207397487745i</v>
      </c>
      <c r="R187" s="18">
        <f t="shared" si="174"/>
        <v>2.6111493370317027</v>
      </c>
      <c r="S187" s="18">
        <f t="shared" si="175"/>
        <v>1.1777836725675985</v>
      </c>
      <c r="T187" s="18" t="str">
        <f t="shared" si="163"/>
        <v>1+0.00276963397346123i</v>
      </c>
      <c r="U187" s="18">
        <f t="shared" si="176"/>
        <v>1.0000038354288181</v>
      </c>
      <c r="V187" s="18">
        <f t="shared" si="177"/>
        <v>2.7696268916576048E-3</v>
      </c>
      <c r="W187" s="32" t="str">
        <f t="shared" si="164"/>
        <v>1-0.0242423112549774i</v>
      </c>
      <c r="X187" s="18">
        <f t="shared" si="178"/>
        <v>1.0002938016677816</v>
      </c>
      <c r="Y187" s="18">
        <f t="shared" si="179"/>
        <v>-2.4237563943653308E-2</v>
      </c>
      <c r="Z187" s="32" t="str">
        <f t="shared" si="165"/>
        <v>0.999994002917702+0.0058367471514794i</v>
      </c>
      <c r="AA187" s="18">
        <f t="shared" si="180"/>
        <v>1.0000110366834354</v>
      </c>
      <c r="AB187" s="18">
        <f t="shared" si="181"/>
        <v>5.8367158739485794E-3</v>
      </c>
      <c r="AC187" s="32" t="str">
        <f>IMDIV(IMSUM(COMPLEX(0,2*PI()*O187*Constants!$B$61*Constants!$B$62),COMPLEX(1,0)),IMSUM(COMPLEX(0,2*PI()*O187*Constants!$B$61*Constants!$B$62),COMPLEX(2,0)))</f>
        <v>0.500018939708096+0.0030772545126036i</v>
      </c>
      <c r="AD187" s="18">
        <f t="shared" si="182"/>
        <v>0.50002840875508658</v>
      </c>
      <c r="AE187" s="18">
        <f t="shared" si="183"/>
        <v>6.1541982086316055E-3</v>
      </c>
      <c r="AF187" s="66" t="str">
        <f t="shared" si="184"/>
        <v>2.58625128067622-6.63129354113449i</v>
      </c>
      <c r="AG187" s="64">
        <f t="shared" si="185"/>
        <v>17.046887573822229</v>
      </c>
      <c r="AH187" s="61">
        <f t="shared" si="186"/>
        <v>-68.693865407626049</v>
      </c>
      <c r="AI187" s="50" t="str">
        <f t="shared" si="166"/>
        <v>107.538871525172</v>
      </c>
      <c r="AJ187" s="50" t="str">
        <f t="shared" si="167"/>
        <v>1+2.29304111439161i</v>
      </c>
      <c r="AK187" s="50">
        <f t="shared" si="187"/>
        <v>2.5016069939721381</v>
      </c>
      <c r="AL187" s="50">
        <f t="shared" si="188"/>
        <v>1.1595598232337863</v>
      </c>
      <c r="AM187" s="50" t="str">
        <f t="shared" si="168"/>
        <v>1+0.00276963397346123i</v>
      </c>
      <c r="AN187" s="50">
        <f t="shared" si="189"/>
        <v>1.0000038354288181</v>
      </c>
      <c r="AO187" s="50">
        <f t="shared" si="190"/>
        <v>2.7696268916576048E-3</v>
      </c>
      <c r="AP187" s="50" t="str">
        <f t="shared" si="169"/>
        <v>1-0.00796317772416375i</v>
      </c>
      <c r="AQ187" s="50">
        <f t="shared" si="191"/>
        <v>1.0000317055971109</v>
      </c>
      <c r="AR187" s="50">
        <f t="shared" si="192"/>
        <v>-7.9630094096962076E-3</v>
      </c>
      <c r="AS187" s="59" t="str">
        <f t="shared" si="193"/>
        <v>16.9798536665948-39.4940104080222i</v>
      </c>
      <c r="AT187" s="50">
        <f t="shared" si="194"/>
        <v>32.667236548980334</v>
      </c>
      <c r="AU187" s="61">
        <f t="shared" si="195"/>
        <v>-66.735442863912397</v>
      </c>
      <c r="AV187" s="32" t="str">
        <f t="shared" si="170"/>
        <v>-0.0000333333333333333</v>
      </c>
      <c r="AW187" s="32" t="str">
        <f t="shared" si="171"/>
        <v>0.000147713811917932i</v>
      </c>
      <c r="AX187" s="32">
        <f t="shared" si="196"/>
        <v>1.47713811917932E-4</v>
      </c>
      <c r="AY187" s="32">
        <f t="shared" si="197"/>
        <v>1.5707963267948966</v>
      </c>
      <c r="AZ187" s="32" t="str">
        <f t="shared" si="172"/>
        <v>1+0.0602651836817954i</v>
      </c>
      <c r="BA187" s="32">
        <f t="shared" si="198"/>
        <v>1.0018143003392397</v>
      </c>
      <c r="BB187" s="32">
        <f t="shared" si="199"/>
        <v>6.0192383370991448E-2</v>
      </c>
      <c r="BC187" s="32" t="str">
        <f t="shared" si="173"/>
        <v>1+2.89272881672618i</v>
      </c>
      <c r="BD187" s="32">
        <f t="shared" si="200"/>
        <v>3.0606992676703877</v>
      </c>
      <c r="BE187" s="32">
        <f t="shared" si="201"/>
        <v>1.2379624158867479</v>
      </c>
      <c r="BF187" s="59" t="str">
        <f t="shared" si="202"/>
        <v>-0.636865214829976+0.264042386924804i</v>
      </c>
      <c r="BG187" s="50">
        <f t="shared" si="203"/>
        <v>-3.2301785508873104</v>
      </c>
      <c r="BH187" s="61">
        <f t="shared" si="204"/>
        <v>157.48125210013856</v>
      </c>
      <c r="BI187" s="59" t="str">
        <f t="shared" si="205"/>
        <v>0.103849097528025+4.90612014701233i</v>
      </c>
      <c r="BJ187" s="64">
        <f t="shared" si="206"/>
        <v>13.816709022934916</v>
      </c>
      <c r="BK187" s="61">
        <f t="shared" si="207"/>
        <v>88.787386692512513</v>
      </c>
      <c r="BL187" s="59" t="str">
        <f t="shared" si="211"/>
        <v>-0.385785375790221+29.6357625147639i</v>
      </c>
      <c r="BM187" s="64">
        <f t="shared" si="208"/>
        <v>29.43705799809301</v>
      </c>
      <c r="BN187" s="61">
        <f t="shared" si="212"/>
        <v>90.745809236226165</v>
      </c>
      <c r="BO187" s="50">
        <f t="shared" si="209"/>
        <v>13.816709022934916</v>
      </c>
      <c r="BP187" s="61">
        <f t="shared" si="210"/>
        <v>88.787386692512513</v>
      </c>
    </row>
    <row r="188" spans="14:68" x14ac:dyDescent="0.25">
      <c r="N188" s="11">
        <v>70</v>
      </c>
      <c r="O188" s="51">
        <f t="shared" si="213"/>
        <v>501.18723362727269</v>
      </c>
      <c r="P188" s="49" t="str">
        <f t="shared" si="161"/>
        <v>37.1583961085025</v>
      </c>
      <c r="Q188" s="18" t="str">
        <f t="shared" si="162"/>
        <v>1+2.46825839535488i</v>
      </c>
      <c r="R188" s="18">
        <f t="shared" si="174"/>
        <v>2.663137154980916</v>
      </c>
      <c r="S188" s="18">
        <f t="shared" si="175"/>
        <v>1.1858633753717476</v>
      </c>
      <c r="T188" s="18" t="str">
        <f t="shared" si="163"/>
        <v>1+0.00283414703622558i</v>
      </c>
      <c r="U188" s="18">
        <f t="shared" si="176"/>
        <v>1.0000040161866466</v>
      </c>
      <c r="V188" s="18">
        <f t="shared" si="177"/>
        <v>2.8341394479379253E-3</v>
      </c>
      <c r="W188" s="32" t="str">
        <f t="shared" si="164"/>
        <v>1-0.0248069872239072i</v>
      </c>
      <c r="X188" s="18">
        <f t="shared" si="178"/>
        <v>1.0003076459845377</v>
      </c>
      <c r="Y188" s="18">
        <f t="shared" si="179"/>
        <v>-2.4801900472666585E-2</v>
      </c>
      <c r="Z188" s="32" t="str">
        <f t="shared" si="165"/>
        <v>0.999993720283921+0.00597270245782352i</v>
      </c>
      <c r="AA188" s="18">
        <f t="shared" si="180"/>
        <v>1.0000115568241832</v>
      </c>
      <c r="AB188" s="18">
        <f t="shared" si="181"/>
        <v>5.972668943364224E-3</v>
      </c>
      <c r="AC188" s="32" t="str">
        <f>IMDIV(IMSUM(COMPLEX(0,2*PI()*O188*Constants!$B$61*Constants!$B$62),COMPLEX(1,0)),IMSUM(COMPLEX(0,2*PI()*O188*Constants!$B$61*Constants!$B$62),COMPLEX(2,0)))</f>
        <v>0.500019832273634+0.00314892735674053i</v>
      </c>
      <c r="AD188" s="18">
        <f t="shared" si="182"/>
        <v>0.50002974752553586</v>
      </c>
      <c r="AE188" s="18">
        <f t="shared" si="183"/>
        <v>6.297521669838527E-3</v>
      </c>
      <c r="AF188" s="66" t="str">
        <f t="shared" si="184"/>
        <v>2.47997720178997-6.5234456299725i</v>
      </c>
      <c r="AG188" s="64">
        <f t="shared" si="185"/>
        <v>16.875791635452181</v>
      </c>
      <c r="AH188" s="61">
        <f t="shared" si="186"/>
        <v>-69.185013789817845</v>
      </c>
      <c r="AI188" s="50" t="str">
        <f t="shared" si="166"/>
        <v>107.538871525172</v>
      </c>
      <c r="AJ188" s="50" t="str">
        <f t="shared" si="167"/>
        <v>1+2.34645290336858i</v>
      </c>
      <c r="AK188" s="50">
        <f t="shared" si="187"/>
        <v>2.5506550585539474</v>
      </c>
      <c r="AL188" s="50">
        <f t="shared" si="188"/>
        <v>1.1679307083935222</v>
      </c>
      <c r="AM188" s="50" t="str">
        <f t="shared" si="168"/>
        <v>1+0.00283414703622558i</v>
      </c>
      <c r="AN188" s="50">
        <f t="shared" si="189"/>
        <v>1.0000040161866466</v>
      </c>
      <c r="AO188" s="50">
        <f t="shared" si="190"/>
        <v>2.8341394479379253E-3</v>
      </c>
      <c r="AP188" s="50" t="str">
        <f t="shared" si="169"/>
        <v>1-0.00814866396142296i</v>
      </c>
      <c r="AQ188" s="50">
        <f t="shared" si="191"/>
        <v>1.0000331998110643</v>
      </c>
      <c r="AR188" s="50">
        <f t="shared" si="192"/>
        <v>-8.1484836095450115E-3</v>
      </c>
      <c r="AS188" s="59" t="str">
        <f t="shared" si="193"/>
        <v>16.3238408812842-38.8746409828531i</v>
      </c>
      <c r="AT188" s="50">
        <f t="shared" si="194"/>
        <v>32.498598142802486</v>
      </c>
      <c r="AU188" s="61">
        <f t="shared" si="195"/>
        <v>-67.221989846013329</v>
      </c>
      <c r="AV188" s="32" t="str">
        <f t="shared" si="170"/>
        <v>-0.0000333333333333333</v>
      </c>
      <c r="AW188" s="32" t="str">
        <f t="shared" si="171"/>
        <v>0.000151154508598697i</v>
      </c>
      <c r="AX188" s="32">
        <f t="shared" si="196"/>
        <v>1.5115450859869701E-4</v>
      </c>
      <c r="AY188" s="32">
        <f t="shared" si="197"/>
        <v>1.5707963267948966</v>
      </c>
      <c r="AZ188" s="32" t="str">
        <f t="shared" si="172"/>
        <v>1+0.0616689401400936i</v>
      </c>
      <c r="BA188" s="32">
        <f t="shared" si="198"/>
        <v>1.0018997246122001</v>
      </c>
      <c r="BB188" s="32">
        <f t="shared" si="199"/>
        <v>6.1590941187909191E-2</v>
      </c>
      <c r="BC188" s="32" t="str">
        <f t="shared" si="173"/>
        <v>1+2.9601091267245i</v>
      </c>
      <c r="BD188" s="32">
        <f t="shared" si="200"/>
        <v>3.1244593199652448</v>
      </c>
      <c r="BE188" s="32">
        <f t="shared" si="201"/>
        <v>1.2450083903365159</v>
      </c>
      <c r="BF188" s="59" t="str">
        <f t="shared" si="202"/>
        <v>-0.636756618276213+0.259793008687587i</v>
      </c>
      <c r="BG188" s="50">
        <f t="shared" si="203"/>
        <v>-3.2518348620223891</v>
      </c>
      <c r="BH188" s="61">
        <f t="shared" si="204"/>
        <v>157.80482523835292</v>
      </c>
      <c r="BI188" s="59" t="str">
        <f t="shared" si="205"/>
        <v>0.11560367080656+4.79812791757967i</v>
      </c>
      <c r="BJ188" s="64">
        <f t="shared" si="206"/>
        <v>13.623956773429795</v>
      </c>
      <c r="BK188" s="61">
        <f t="shared" si="207"/>
        <v>88.619811448535074</v>
      </c>
      <c r="BL188" s="59" t="str">
        <f t="shared" si="211"/>
        <v>-0.294953774260344+28.9945046648297i</v>
      </c>
      <c r="BM188" s="64">
        <f t="shared" si="208"/>
        <v>29.246763280780101</v>
      </c>
      <c r="BN188" s="61">
        <f t="shared" si="212"/>
        <v>90.582835392339575</v>
      </c>
      <c r="BO188" s="50">
        <f t="shared" si="209"/>
        <v>13.623956773429795</v>
      </c>
      <c r="BP188" s="61">
        <f t="shared" si="210"/>
        <v>88.619811448535074</v>
      </c>
    </row>
    <row r="189" spans="14:68" x14ac:dyDescent="0.25">
      <c r="N189" s="11">
        <v>71</v>
      </c>
      <c r="O189" s="51">
        <f t="shared" si="213"/>
        <v>512.86138399136519</v>
      </c>
      <c r="P189" s="49" t="str">
        <f t="shared" si="161"/>
        <v>37.1583961085025</v>
      </c>
      <c r="Q189" s="18" t="str">
        <f t="shared" si="162"/>
        <v>1+2.52575151910479i</v>
      </c>
      <c r="R189" s="18">
        <f t="shared" si="174"/>
        <v>2.7165089243844114</v>
      </c>
      <c r="S189" s="18">
        <f t="shared" si="175"/>
        <v>1.1938106058339084</v>
      </c>
      <c r="T189" s="18" t="str">
        <f t="shared" si="163"/>
        <v>1+0.0029001628012629i</v>
      </c>
      <c r="U189" s="18">
        <f t="shared" si="176"/>
        <v>1.0000042054632938</v>
      </c>
      <c r="V189" s="18">
        <f t="shared" si="177"/>
        <v>2.9001546702680315E-3</v>
      </c>
      <c r="W189" s="32" t="str">
        <f t="shared" si="164"/>
        <v>1-0.0253848161858224i</v>
      </c>
      <c r="X189" s="18">
        <f t="shared" si="178"/>
        <v>1.0003221425584801</v>
      </c>
      <c r="Y189" s="18">
        <f t="shared" si="179"/>
        <v>-2.5379365728463898E-2</v>
      </c>
      <c r="Z189" s="32" t="str">
        <f t="shared" si="165"/>
        <v>0.99999342433002+0.00611182457006884i</v>
      </c>
      <c r="AA189" s="18">
        <f t="shared" si="180"/>
        <v>1.0000121014782044</v>
      </c>
      <c r="AB189" s="18">
        <f t="shared" si="181"/>
        <v>6.1117886586997908E-3</v>
      </c>
      <c r="AC189" s="32" t="str">
        <f>IMDIV(IMSUM(COMPLEX(0,2*PI()*O189*Constants!$B$61*Constants!$B$62),COMPLEX(1,0)),IMSUM(COMPLEX(0,2*PI()*O189*Constants!$B$61*Constants!$B$62),COMPLEX(2,0)))</f>
        <v>0.500020766901075+0.003222269273861i</v>
      </c>
      <c r="AD189" s="18">
        <f t="shared" si="182"/>
        <v>0.50003114938132853</v>
      </c>
      <c r="AE189" s="18">
        <f t="shared" si="183"/>
        <v>6.4441816876310157E-3</v>
      </c>
      <c r="AF189" s="66" t="str">
        <f t="shared" si="184"/>
        <v>2.37715931409734-6.41570516310459i</v>
      </c>
      <c r="AG189" s="64">
        <f t="shared" si="185"/>
        <v>16.703586728067993</v>
      </c>
      <c r="AH189" s="61">
        <f t="shared" si="186"/>
        <v>-69.669228454959949</v>
      </c>
      <c r="AI189" s="50" t="str">
        <f t="shared" si="166"/>
        <v>107.538871525172</v>
      </c>
      <c r="AJ189" s="50" t="str">
        <f t="shared" si="167"/>
        <v>1+2.4011088127339i</v>
      </c>
      <c r="AK189" s="50">
        <f t="shared" si="187"/>
        <v>2.6010235544086098</v>
      </c>
      <c r="AL189" s="50">
        <f t="shared" si="188"/>
        <v>1.1761691681009105</v>
      </c>
      <c r="AM189" s="50" t="str">
        <f t="shared" si="168"/>
        <v>1+0.0029001628012629i</v>
      </c>
      <c r="AN189" s="50">
        <f t="shared" si="189"/>
        <v>1.0000042054632938</v>
      </c>
      <c r="AO189" s="50">
        <f t="shared" si="190"/>
        <v>2.9001546702680315E-3</v>
      </c>
      <c r="AP189" s="50" t="str">
        <f t="shared" si="169"/>
        <v>1-0.00833847072817484i</v>
      </c>
      <c r="AQ189" s="50">
        <f t="shared" si="191"/>
        <v>1.0000347644427592</v>
      </c>
      <c r="AR189" s="50">
        <f t="shared" si="192"/>
        <v>-8.338277478018713E-3</v>
      </c>
      <c r="AS189" s="59" t="str">
        <f t="shared" si="193"/>
        <v>15.6884193917976-38.2544315569771i</v>
      </c>
      <c r="AT189" s="50">
        <f t="shared" si="194"/>
        <v>32.328762277476905</v>
      </c>
      <c r="AU189" s="61">
        <f t="shared" si="195"/>
        <v>-67.701110810953153</v>
      </c>
      <c r="AV189" s="32" t="str">
        <f t="shared" si="170"/>
        <v>-0.0000333333333333333</v>
      </c>
      <c r="AW189" s="32" t="str">
        <f t="shared" si="171"/>
        <v>0.000154675349400688i</v>
      </c>
      <c r="AX189" s="32">
        <f t="shared" si="196"/>
        <v>1.5467534940068799E-4</v>
      </c>
      <c r="AY189" s="32">
        <f t="shared" si="197"/>
        <v>1.5707963267948966</v>
      </c>
      <c r="AZ189" s="32" t="str">
        <f t="shared" si="172"/>
        <v>1+0.063105394286739i</v>
      </c>
      <c r="BA189" s="32">
        <f t="shared" si="198"/>
        <v>1.0019891670013628</v>
      </c>
      <c r="BB189" s="32">
        <f t="shared" si="199"/>
        <v>6.3021825862191891E-2</v>
      </c>
      <c r="BC189" s="32" t="str">
        <f t="shared" si="173"/>
        <v>1+3.02905892576348i</v>
      </c>
      <c r="BD189" s="32">
        <f t="shared" si="200"/>
        <v>3.1898586137550686</v>
      </c>
      <c r="BE189" s="32">
        <f t="shared" si="201"/>
        <v>1.2519265433037194</v>
      </c>
      <c r="BF189" s="59" t="str">
        <f t="shared" si="202"/>
        <v>-0.636642943411893+0.255680747236468i</v>
      </c>
      <c r="BG189" s="50">
        <f t="shared" si="203"/>
        <v>-3.272679053608897</v>
      </c>
      <c r="BH189" s="61">
        <f t="shared" si="204"/>
        <v>158.11922255259321</v>
      </c>
      <c r="BI189" s="59" t="str">
        <f t="shared" si="205"/>
        <v>0.12697058746552+4.69230728883032i</v>
      </c>
      <c r="BJ189" s="64">
        <f t="shared" si="206"/>
        <v>13.430907674459087</v>
      </c>
      <c r="BK189" s="61">
        <f t="shared" si="207"/>
        <v>88.449994097633294</v>
      </c>
      <c r="BL189" s="59" t="str">
        <f t="shared" si="211"/>
        <v>-0.206999853480015+28.3656406980366i</v>
      </c>
      <c r="BM189" s="64">
        <f t="shared" si="208"/>
        <v>29.056083223868008</v>
      </c>
      <c r="BN189" s="61">
        <f t="shared" si="212"/>
        <v>90.418111741640061</v>
      </c>
      <c r="BO189" s="50">
        <f t="shared" si="209"/>
        <v>13.430907674459087</v>
      </c>
      <c r="BP189" s="61">
        <f t="shared" si="210"/>
        <v>88.449994097633294</v>
      </c>
    </row>
    <row r="190" spans="14:68" x14ac:dyDescent="0.25">
      <c r="N190" s="11">
        <v>72</v>
      </c>
      <c r="O190" s="51">
        <f t="shared" si="213"/>
        <v>524.80746024977248</v>
      </c>
      <c r="P190" s="49" t="str">
        <f t="shared" si="161"/>
        <v>37.1583961085025</v>
      </c>
      <c r="Q190" s="18" t="str">
        <f t="shared" si="162"/>
        <v>1+2.5845838297424i</v>
      </c>
      <c r="R190" s="18">
        <f t="shared" si="174"/>
        <v>2.7712945662570574</v>
      </c>
      <c r="S190" s="18">
        <f t="shared" si="175"/>
        <v>1.201625561163292</v>
      </c>
      <c r="T190" s="18" t="str">
        <f t="shared" si="163"/>
        <v>1+0.00296771627100565i</v>
      </c>
      <c r="U190" s="18">
        <f t="shared" si="176"/>
        <v>1.0000044036602365</v>
      </c>
      <c r="V190" s="18">
        <f t="shared" si="177"/>
        <v>2.9677075584897497E-3</v>
      </c>
      <c r="W190" s="32" t="str">
        <f t="shared" si="164"/>
        <v>1-0.0259761045132872i</v>
      </c>
      <c r="X190" s="18">
        <f t="shared" si="178"/>
        <v>1.0003373221097398</v>
      </c>
      <c r="Y190" s="18">
        <f t="shared" si="179"/>
        <v>-2.5970264349364395E-2</v>
      </c>
      <c r="Z190" s="32" t="str">
        <f t="shared" si="165"/>
        <v>0.999993114428242+0.00625418725260079i</v>
      </c>
      <c r="AA190" s="18">
        <f t="shared" si="180"/>
        <v>1.0000126718007556</v>
      </c>
      <c r="AB190" s="18">
        <f t="shared" si="181"/>
        <v>6.2541487728992378E-3</v>
      </c>
      <c r="AC190" s="32" t="str">
        <f>IMDIV(IMSUM(COMPLEX(0,2*PI()*O190*Constants!$B$61*Constants!$B$62),COMPLEX(1,0)),IMSUM(COMPLEX(0,2*PI()*O190*Constants!$B$61*Constants!$B$62),COMPLEX(2,0)))</f>
        <v>0.500021745572405+0.00329731911291949i</v>
      </c>
      <c r="AD190" s="18">
        <f t="shared" si="182"/>
        <v>0.50003261729471948</v>
      </c>
      <c r="AE190" s="18">
        <f t="shared" si="183"/>
        <v>6.5942558462810906E-3</v>
      </c>
      <c r="AF190" s="66" t="str">
        <f t="shared" si="184"/>
        <v>2.27773546803919-6.30817836974296i</v>
      </c>
      <c r="AG190" s="64">
        <f t="shared" si="185"/>
        <v>16.53030971692775</v>
      </c>
      <c r="AH190" s="61">
        <f t="shared" si="186"/>
        <v>-70.146535931935588</v>
      </c>
      <c r="AI190" s="50" t="str">
        <f t="shared" si="166"/>
        <v>107.538871525172</v>
      </c>
      <c r="AJ190" s="50" t="str">
        <f t="shared" si="167"/>
        <v>1+2.45703782177417i</v>
      </c>
      <c r="AK190" s="50">
        <f t="shared" si="187"/>
        <v>2.6527410083965526</v>
      </c>
      <c r="AL190" s="50">
        <f t="shared" si="188"/>
        <v>1.1842750961450252</v>
      </c>
      <c r="AM190" s="50" t="str">
        <f t="shared" si="168"/>
        <v>1+0.00296771627100565i</v>
      </c>
      <c r="AN190" s="50">
        <f t="shared" si="189"/>
        <v>1.0000044036602365</v>
      </c>
      <c r="AO190" s="50">
        <f t="shared" si="190"/>
        <v>2.9677075584897497E-3</v>
      </c>
      <c r="AP190" s="50" t="str">
        <f t="shared" si="169"/>
        <v>1-0.00853269866247953i</v>
      </c>
      <c r="AQ190" s="50">
        <f t="shared" si="191"/>
        <v>1.0000364028106501</v>
      </c>
      <c r="AR190" s="50">
        <f t="shared" si="192"/>
        <v>-8.5324915916135998E-3</v>
      </c>
      <c r="AS190" s="59" t="str">
        <f t="shared" si="193"/>
        <v>15.0732770009407-37.6340636158267i</v>
      </c>
      <c r="AT190" s="50">
        <f t="shared" si="194"/>
        <v>32.157766908409542</v>
      </c>
      <c r="AU190" s="61">
        <f t="shared" si="195"/>
        <v>-68.172803430559568</v>
      </c>
      <c r="AV190" s="32" t="str">
        <f t="shared" si="170"/>
        <v>-0.0000333333333333333</v>
      </c>
      <c r="AW190" s="32" t="str">
        <f t="shared" si="171"/>
        <v>0.000158278201120301i</v>
      </c>
      <c r="AX190" s="32">
        <f t="shared" si="196"/>
        <v>1.58278201120301E-4</v>
      </c>
      <c r="AY190" s="32">
        <f t="shared" si="197"/>
        <v>1.5707963267948966</v>
      </c>
      <c r="AZ190" s="32" t="str">
        <f t="shared" si="172"/>
        <v>1+0.0645753077487341i</v>
      </c>
      <c r="BA190" s="32">
        <f t="shared" si="198"/>
        <v>1.0020828161239188</v>
      </c>
      <c r="BB190" s="32">
        <f t="shared" si="199"/>
        <v>6.4485772617508999E-2</v>
      </c>
      <c r="BC190" s="32" t="str">
        <f t="shared" si="173"/>
        <v>1+3.09961477193924i</v>
      </c>
      <c r="BD190" s="32">
        <f t="shared" si="200"/>
        <v>3.2569328722624831</v>
      </c>
      <c r="BE190" s="32">
        <f t="shared" si="201"/>
        <v>1.258717893128239</v>
      </c>
      <c r="BF190" s="59" t="str">
        <f t="shared" si="202"/>
        <v>-0.636523954709273+0.251703377578183i</v>
      </c>
      <c r="BG190" s="50">
        <f t="shared" si="203"/>
        <v>-3.2927433552599212</v>
      </c>
      <c r="BH190" s="61">
        <f t="shared" si="204"/>
        <v>158.42446026422357</v>
      </c>
      <c r="BI190" s="59" t="str">
        <f t="shared" si="205"/>
        <v>0.137956614132057+4.58862035345537i</v>
      </c>
      <c r="BJ190" s="64">
        <f t="shared" si="206"/>
        <v>13.237566361667827</v>
      </c>
      <c r="BK190" s="61">
        <f t="shared" si="207"/>
        <v>88.277924332287981</v>
      </c>
      <c r="BL190" s="59" t="str">
        <f t="shared" si="211"/>
        <v>-0.12188096297132+27.7489777368347i</v>
      </c>
      <c r="BM190" s="64">
        <f t="shared" si="208"/>
        <v>28.865023553149626</v>
      </c>
      <c r="BN190" s="61">
        <f t="shared" si="212"/>
        <v>90.251656833664001</v>
      </c>
      <c r="BO190" s="50">
        <f t="shared" si="209"/>
        <v>13.237566361667827</v>
      </c>
      <c r="BP190" s="61">
        <f t="shared" si="210"/>
        <v>88.277924332287981</v>
      </c>
    </row>
    <row r="191" spans="14:68" x14ac:dyDescent="0.25">
      <c r="N191" s="11">
        <v>73</v>
      </c>
      <c r="O191" s="51">
        <f t="shared" si="213"/>
        <v>537.03179637025301</v>
      </c>
      <c r="P191" s="49" t="str">
        <f t="shared" si="161"/>
        <v>37.1583961085025</v>
      </c>
      <c r="Q191" s="18" t="str">
        <f t="shared" si="162"/>
        <v>1+2.64478652093755i</v>
      </c>
      <c r="R191" s="18">
        <f t="shared" si="174"/>
        <v>2.8275246667947833</v>
      </c>
      <c r="S191" s="18">
        <f t="shared" si="175"/>
        <v>1.2093085656306402</v>
      </c>
      <c r="T191" s="18" t="str">
        <f t="shared" si="163"/>
        <v>1+0.00303684326319765i</v>
      </c>
      <c r="U191" s="18">
        <f t="shared" si="176"/>
        <v>1.0000046111978711</v>
      </c>
      <c r="V191" s="18">
        <f t="shared" si="177"/>
        <v>3.0368339275709906E-3</v>
      </c>
      <c r="W191" s="32" t="str">
        <f t="shared" si="164"/>
        <v>1-0.0265811657151992i</v>
      </c>
      <c r="X191" s="18">
        <f t="shared" si="178"/>
        <v>1.0003532168043341</v>
      </c>
      <c r="Y191" s="18">
        <f t="shared" si="179"/>
        <v>-2.6574907986141854E-2</v>
      </c>
      <c r="Z191" s="32" t="str">
        <f t="shared" si="165"/>
        <v>0.999992789921242+0.006399865987998i</v>
      </c>
      <c r="AA191" s="18">
        <f t="shared" si="180"/>
        <v>1.0000132690015335</v>
      </c>
      <c r="AB191" s="18">
        <f t="shared" si="181"/>
        <v>6.3998247562814846E-3</v>
      </c>
      <c r="AC191" s="32" t="str">
        <f>IMDIV(IMSUM(COMPLEX(0,2*PI()*O191*Constants!$B$61*Constants!$B$62),COMPLEX(1,0)),IMSUM(COMPLEX(0,2*PI()*O191*Constants!$B$61*Constants!$B$62),COMPLEX(2,0)))</f>
        <v>0.500022770362987+0.00337411662572308i</v>
      </c>
      <c r="AD191" s="18">
        <f t="shared" si="182"/>
        <v>0.50003415437795884</v>
      </c>
      <c r="AE191" s="18">
        <f t="shared" si="183"/>
        <v>6.7478235276429389E-3</v>
      </c>
      <c r="AF191" s="66" t="str">
        <f t="shared" si="184"/>
        <v>2.18164059020704-6.20096589011758i</v>
      </c>
      <c r="AG191" s="64">
        <f t="shared" si="185"/>
        <v>16.355996802779654</v>
      </c>
      <c r="AH191" s="61">
        <f t="shared" si="186"/>
        <v>-70.616970380202687</v>
      </c>
      <c r="AI191" s="50" t="str">
        <f t="shared" si="166"/>
        <v>107.538871525172</v>
      </c>
      <c r="AJ191" s="50" t="str">
        <f t="shared" si="167"/>
        <v>1+2.51426958479027i</v>
      </c>
      <c r="AK191" s="50">
        <f t="shared" si="187"/>
        <v>2.705836570268322</v>
      </c>
      <c r="AL191" s="50">
        <f t="shared" si="188"/>
        <v>1.1922485284795723</v>
      </c>
      <c r="AM191" s="50" t="str">
        <f t="shared" si="168"/>
        <v>1+0.00303684326319765i</v>
      </c>
      <c r="AN191" s="50">
        <f t="shared" si="189"/>
        <v>1.0000046111978711</v>
      </c>
      <c r="AO191" s="50">
        <f t="shared" si="190"/>
        <v>3.0368339275709906E-3</v>
      </c>
      <c r="AP191" s="50" t="str">
        <f t="shared" si="169"/>
        <v>1-0.00873145074655865i</v>
      </c>
      <c r="AQ191" s="50">
        <f t="shared" si="191"/>
        <v>1.0000381183895639</v>
      </c>
      <c r="AR191" s="50">
        <f t="shared" si="192"/>
        <v>-8.7312288665850266E-3</v>
      </c>
      <c r="AS191" s="59" t="str">
        <f t="shared" si="193"/>
        <v>14.4780794956298-37.0141865845771i</v>
      </c>
      <c r="AT191" s="50">
        <f t="shared" si="194"/>
        <v>31.985649392409478</v>
      </c>
      <c r="AU191" s="61">
        <f t="shared" si="195"/>
        <v>-68.637073609448578</v>
      </c>
      <c r="AV191" s="32" t="str">
        <f t="shared" si="170"/>
        <v>-0.0000333333333333333</v>
      </c>
      <c r="AW191" s="32" t="str">
        <f t="shared" si="171"/>
        <v>0.000161964974037208i</v>
      </c>
      <c r="AX191" s="32">
        <f t="shared" si="196"/>
        <v>1.61964974037208E-4</v>
      </c>
      <c r="AY191" s="32">
        <f t="shared" si="197"/>
        <v>1.5707963267948966</v>
      </c>
      <c r="AZ191" s="32" t="str">
        <f t="shared" si="172"/>
        <v>1+0.0660794598936526i</v>
      </c>
      <c r="BA191" s="32">
        <f t="shared" si="198"/>
        <v>1.0021808694142174</v>
      </c>
      <c r="BB191" s="32">
        <f t="shared" si="199"/>
        <v>6.5983532544112822E-2</v>
      </c>
      <c r="BC191" s="32" t="str">
        <f t="shared" si="173"/>
        <v>1+3.17181407489533i</v>
      </c>
      <c r="BD191" s="32">
        <f t="shared" si="200"/>
        <v>3.3257186480073919</v>
      </c>
      <c r="BE191" s="32">
        <f t="shared" si="201"/>
        <v>1.2653835339437056</v>
      </c>
      <c r="BF191" s="59" t="str">
        <f t="shared" si="202"/>
        <v>-0.636399405904233+0.247858743093605i</v>
      </c>
      <c r="BG191" s="50">
        <f t="shared" si="203"/>
        <v>-3.312059261795373</v>
      </c>
      <c r="BH191" s="61">
        <f t="shared" si="204"/>
        <v>158.72055802818167</v>
      </c>
      <c r="BI191" s="59" t="str">
        <f t="shared" si="205"/>
        <v>0.14856883598654+4.48702970307395i</v>
      </c>
      <c r="BJ191" s="64">
        <f t="shared" si="206"/>
        <v>13.043937540984283</v>
      </c>
      <c r="BK191" s="61">
        <f t="shared" si="207"/>
        <v>88.103587647978969</v>
      </c>
      <c r="BL191" s="59" t="str">
        <f t="shared" si="211"/>
        <v>-0.0395514261676073+27.1443249386494i</v>
      </c>
      <c r="BM191" s="64">
        <f t="shared" si="208"/>
        <v>28.673590130614105</v>
      </c>
      <c r="BN191" s="61">
        <f t="shared" si="212"/>
        <v>90.083484418733065</v>
      </c>
      <c r="BO191" s="50">
        <f t="shared" si="209"/>
        <v>13.043937540984283</v>
      </c>
      <c r="BP191" s="61">
        <f t="shared" si="210"/>
        <v>88.103587647978969</v>
      </c>
    </row>
    <row r="192" spans="14:68" x14ac:dyDescent="0.25">
      <c r="N192" s="11">
        <v>74</v>
      </c>
      <c r="O192" s="51">
        <f t="shared" si="213"/>
        <v>549.54087385762534</v>
      </c>
      <c r="P192" s="49" t="str">
        <f t="shared" si="161"/>
        <v>37.1583961085025</v>
      </c>
      <c r="Q192" s="18" t="str">
        <f t="shared" si="162"/>
        <v>1+2.70639151295399i</v>
      </c>
      <c r="R192" s="18">
        <f t="shared" si="174"/>
        <v>2.8852304970988691</v>
      </c>
      <c r="S192" s="18">
        <f t="shared" si="175"/>
        <v>1.2168600637203331</v>
      </c>
      <c r="T192" s="18" t="str">
        <f t="shared" si="163"/>
        <v>1+0.00310758042988518i</v>
      </c>
      <c r="U192" s="18">
        <f t="shared" si="176"/>
        <v>1.0000048285164067</v>
      </c>
      <c r="V192" s="18">
        <f t="shared" si="177"/>
        <v>3.1075704265835966E-3</v>
      </c>
      <c r="W192" s="32" t="str">
        <f t="shared" si="164"/>
        <v>1-0.0272003206030168i</v>
      </c>
      <c r="X192" s="18">
        <f t="shared" si="178"/>
        <v>1.0003698603221245</v>
      </c>
      <c r="Y192" s="18">
        <f t="shared" si="179"/>
        <v>-2.7193615459411052E-2</v>
      </c>
      <c r="Z192" s="32" t="str">
        <f t="shared" si="165"/>
        <v>0.999992450120699+0.0065489380170543i</v>
      </c>
      <c r="AA192" s="18">
        <f t="shared" si="180"/>
        <v>1.0000138943472485</v>
      </c>
      <c r="AB192" s="18">
        <f t="shared" si="181"/>
        <v>6.5488938365038576E-3</v>
      </c>
      <c r="AC192" s="32" t="str">
        <f>IMDIV(IMSUM(COMPLEX(0,2*PI()*O192*Constants!$B$61*Constants!$B$62),COMPLEX(1,0)),IMSUM(COMPLEX(0,2*PI()*O192*Constants!$B$61*Constants!$B$62),COMPLEX(2,0)))</f>
        <v>0.500023843445959+0.00345270248781453i</v>
      </c>
      <c r="AD192" s="18">
        <f t="shared" si="182"/>
        <v>0.50003576388988247</v>
      </c>
      <c r="AE192" s="18">
        <f t="shared" si="183"/>
        <v>6.9049659523386323E-3</v>
      </c>
      <c r="AF192" s="66" t="str">
        <f t="shared" si="184"/>
        <v>2.08880706922666-6.09416281034129i</v>
      </c>
      <c r="AG192" s="64">
        <f t="shared" si="185"/>
        <v>16.180683493421949</v>
      </c>
      <c r="AH192" s="61">
        <f t="shared" si="186"/>
        <v>-71.080573205298961</v>
      </c>
      <c r="AI192" s="50" t="str">
        <f t="shared" si="166"/>
        <v>107.538871525172</v>
      </c>
      <c r="AJ192" s="50" t="str">
        <f t="shared" si="167"/>
        <v>1+2.57283444682053i</v>
      </c>
      <c r="AK192" s="50">
        <f t="shared" si="187"/>
        <v>2.7603400317254945</v>
      </c>
      <c r="AL192" s="50">
        <f t="shared" si="188"/>
        <v>1.2000896363565297</v>
      </c>
      <c r="AM192" s="50" t="str">
        <f t="shared" si="168"/>
        <v>1+0.00310758042988518i</v>
      </c>
      <c r="AN192" s="50">
        <f t="shared" si="189"/>
        <v>1.0000048285164067</v>
      </c>
      <c r="AO192" s="50">
        <f t="shared" si="190"/>
        <v>3.1075704265835966E-3</v>
      </c>
      <c r="AP192" s="50" t="str">
        <f t="shared" si="169"/>
        <v>1-0.00893483236139804i</v>
      </c>
      <c r="AQ192" s="50">
        <f t="shared" si="191"/>
        <v>1.0000399148180668</v>
      </c>
      <c r="AR192" s="50">
        <f t="shared" si="192"/>
        <v>-8.9345946132353624E-3</v>
      </c>
      <c r="AS192" s="59" t="str">
        <f t="shared" si="193"/>
        <v>13.9024730653479-36.3954176953295i</v>
      </c>
      <c r="AT192" s="50">
        <f t="shared" si="194"/>
        <v>31.812446449164806</v>
      </c>
      <c r="AU192" s="61">
        <f t="shared" si="195"/>
        <v>-69.093935093634698</v>
      </c>
      <c r="AV192" s="32" t="str">
        <f t="shared" si="170"/>
        <v>-0.0000333333333333333</v>
      </c>
      <c r="AW192" s="32" t="str">
        <f t="shared" si="171"/>
        <v>0.000165737622927209i</v>
      </c>
      <c r="AX192" s="32">
        <f t="shared" si="196"/>
        <v>1.65737622927209E-4</v>
      </c>
      <c r="AY192" s="32">
        <f t="shared" si="197"/>
        <v>1.5707963267948966</v>
      </c>
      <c r="AZ192" s="32" t="str">
        <f t="shared" si="172"/>
        <v>1+0.0676186482428719i</v>
      </c>
      <c r="BA192" s="32">
        <f t="shared" si="198"/>
        <v>1.0022835335323999</v>
      </c>
      <c r="BB192" s="32">
        <f t="shared" si="199"/>
        <v>6.7515872879784986E-2</v>
      </c>
      <c r="BC192" s="32" t="str">
        <f t="shared" si="173"/>
        <v>1+3.24569511565786i</v>
      </c>
      <c r="BD192" s="32">
        <f t="shared" si="200"/>
        <v>3.3962533450561798</v>
      </c>
      <c r="BE192" s="32">
        <f t="shared" si="201"/>
        <v>1.271924629850365</v>
      </c>
      <c r="BF192" s="59" t="str">
        <f t="shared" si="202"/>
        <v>-0.636269039524913+0.244144754174482i</v>
      </c>
      <c r="BG192" s="50">
        <f t="shared" si="203"/>
        <v>-3.3306575338589735</v>
      </c>
      <c r="BH192" s="61">
        <f t="shared" si="204"/>
        <v>159.00753858301192</v>
      </c>
      <c r="BI192" s="59" t="str">
        <f t="shared" si="205"/>
        <v>0.158814613540349+4.38749840647856i</v>
      </c>
      <c r="BJ192" s="64">
        <f t="shared" si="206"/>
        <v>12.850025959562974</v>
      </c>
      <c r="BK192" s="61">
        <f t="shared" si="207"/>
        <v>87.926965377712961</v>
      </c>
      <c r="BL192" s="59" t="str">
        <f t="shared" si="211"/>
        <v>0.0400371219939313+26.551493329072i</v>
      </c>
      <c r="BM192" s="64">
        <f t="shared" si="208"/>
        <v>28.48178891530582</v>
      </c>
      <c r="BN192" s="61">
        <f t="shared" si="212"/>
        <v>89.913603489377238</v>
      </c>
      <c r="BO192" s="50">
        <f t="shared" si="209"/>
        <v>12.850025959562974</v>
      </c>
      <c r="BP192" s="61">
        <f t="shared" si="210"/>
        <v>87.926965377712961</v>
      </c>
    </row>
    <row r="193" spans="14:68" x14ac:dyDescent="0.25">
      <c r="N193" s="11">
        <v>75</v>
      </c>
      <c r="O193" s="51">
        <f t="shared" si="213"/>
        <v>562.34132519034927</v>
      </c>
      <c r="P193" s="49" t="str">
        <f t="shared" si="161"/>
        <v>37.1583961085025</v>
      </c>
      <c r="Q193" s="18" t="str">
        <f t="shared" si="162"/>
        <v>1+2.76943146957393i</v>
      </c>
      <c r="R193" s="18">
        <f t="shared" si="174"/>
        <v>2.9444440332032826</v>
      </c>
      <c r="S193" s="18">
        <f t="shared" si="175"/>
        <v>1.2242806133394315</v>
      </c>
      <c r="T193" s="18" t="str">
        <f t="shared" si="163"/>
        <v>1+0.00317996527685031i</v>
      </c>
      <c r="U193" s="18">
        <f t="shared" si="176"/>
        <v>1.000005056076799</v>
      </c>
      <c r="V193" s="18">
        <f t="shared" si="177"/>
        <v>3.179954558122474E-3</v>
      </c>
      <c r="W193" s="32" t="str">
        <f t="shared" si="164"/>
        <v>1-0.0278338974608569i</v>
      </c>
      <c r="X193" s="18">
        <f t="shared" si="178"/>
        <v>1.0003872879279612</v>
      </c>
      <c r="Y193" s="18">
        <f t="shared" si="179"/>
        <v>-2.7826712920254362E-2</v>
      </c>
      <c r="Z193" s="32" t="str">
        <f t="shared" si="165"/>
        <v>0.99999209430585+0.00670148237973268i</v>
      </c>
      <c r="AA193" s="18">
        <f t="shared" si="180"/>
        <v>1.000014549164304</v>
      </c>
      <c r="AB193" s="18">
        <f t="shared" si="181"/>
        <v>6.7014350394533906E-3</v>
      </c>
      <c r="AC193" s="32" t="str">
        <f>IMDIV(IMSUM(COMPLEX(0,2*PI()*O193*Constants!$B$61*Constants!$B$62),COMPLEX(1,0)),IMSUM(COMPLEX(0,2*PI()*O193*Constants!$B$61*Constants!$B$62),COMPLEX(2,0)))</f>
        <v>0.500024967096836+0.00353311831983145i</v>
      </c>
      <c r="AD193" s="18">
        <f t="shared" si="182"/>
        <v>0.50003744924280802</v>
      </c>
      <c r="AE193" s="18">
        <f t="shared" si="183"/>
        <v>7.0657662218546052E-3</v>
      </c>
      <c r="AF193" s="66" t="str">
        <f t="shared" si="184"/>
        <v>1.99916512406917-5.98785871984728i</v>
      </c>
      <c r="AG193" s="64">
        <f t="shared" si="185"/>
        <v>16.004404579320774</v>
      </c>
      <c r="AH193" s="61">
        <f t="shared" si="186"/>
        <v>-71.537392677769546</v>
      </c>
      <c r="AI193" s="50" t="str">
        <f t="shared" si="166"/>
        <v>107.538871525172</v>
      </c>
      <c r="AJ193" s="50" t="str">
        <f t="shared" si="167"/>
        <v>1+2.63276345972997i</v>
      </c>
      <c r="AK193" s="50">
        <f t="shared" si="187"/>
        <v>2.8162818457834291</v>
      </c>
      <c r="AL193" s="50">
        <f t="shared" si="188"/>
        <v>1.2077987194487108</v>
      </c>
      <c r="AM193" s="50" t="str">
        <f t="shared" si="168"/>
        <v>1+0.00317996527685031i</v>
      </c>
      <c r="AN193" s="50">
        <f t="shared" si="189"/>
        <v>1.000005056076799</v>
      </c>
      <c r="AO193" s="50">
        <f t="shared" si="190"/>
        <v>3.179954558122474E-3</v>
      </c>
      <c r="AP193" s="50" t="str">
        <f t="shared" si="169"/>
        <v>1-0.00914295134262191i</v>
      </c>
      <c r="AQ193" s="50">
        <f t="shared" si="191"/>
        <v>1.0000417959061778</v>
      </c>
      <c r="AR193" s="50">
        <f t="shared" si="192"/>
        <v>-9.1426965914508506E-3</v>
      </c>
      <c r="AS193" s="59" t="str">
        <f t="shared" si="193"/>
        <v>13.3460866345105-35.7783420141632i</v>
      </c>
      <c r="AT193" s="50">
        <f t="shared" si="194"/>
        <v>31.638194127130358</v>
      </c>
      <c r="AU193" s="61">
        <f t="shared" si="195"/>
        <v>-69.543409078551491</v>
      </c>
      <c r="AV193" s="32" t="str">
        <f t="shared" si="170"/>
        <v>-0.0000333333333333333</v>
      </c>
      <c r="AW193" s="32" t="str">
        <f t="shared" si="171"/>
        <v>0.000169598148098683i</v>
      </c>
      <c r="AX193" s="32">
        <f t="shared" si="196"/>
        <v>1.69598148098683E-4</v>
      </c>
      <c r="AY193" s="32">
        <f t="shared" si="197"/>
        <v>1.5707963267948966</v>
      </c>
      <c r="AZ193" s="32" t="str">
        <f t="shared" si="172"/>
        <v>1+0.0691936888944281i</v>
      </c>
      <c r="BA193" s="32">
        <f t="shared" si="198"/>
        <v>1.0023910247916323</v>
      </c>
      <c r="BB193" s="32">
        <f t="shared" si="199"/>
        <v>6.9083577291154691E-2</v>
      </c>
      <c r="BC193" s="32" t="str">
        <f t="shared" si="173"/>
        <v>1+3.32129706693255i</v>
      </c>
      <c r="BD193" s="32">
        <f t="shared" si="200"/>
        <v>3.4685752416251203</v>
      </c>
      <c r="BE193" s="32">
        <f t="shared" si="201"/>
        <v>1.2783424092816131</v>
      </c>
      <c r="BF193" s="59" t="str">
        <f t="shared" si="202"/>
        <v>-0.636132586401326+0.240559386880613i</v>
      </c>
      <c r="BG193" s="50">
        <f t="shared" si="203"/>
        <v>-3.3485682011165774</v>
      </c>
      <c r="BH193" s="61">
        <f t="shared" si="204"/>
        <v>159.28542741197271</v>
      </c>
      <c r="BI193" s="59" t="str">
        <f t="shared" si="205"/>
        <v>0.168701541356745+4.28998999098137i</v>
      </c>
      <c r="BJ193" s="64">
        <f t="shared" si="206"/>
        <v>12.655836378204201</v>
      </c>
      <c r="BK193" s="61">
        <f t="shared" si="207"/>
        <v>87.748034734203188</v>
      </c>
      <c r="BL193" s="59" t="str">
        <f t="shared" si="211"/>
        <v>0.116935409384643+25.9702956606743i</v>
      </c>
      <c r="BM193" s="64">
        <f t="shared" si="208"/>
        <v>28.289625926013798</v>
      </c>
      <c r="BN193" s="61">
        <f t="shared" si="212"/>
        <v>89.742018333421228</v>
      </c>
      <c r="BO193" s="50">
        <f t="shared" si="209"/>
        <v>12.655836378204201</v>
      </c>
      <c r="BP193" s="61">
        <f t="shared" si="210"/>
        <v>87.748034734203188</v>
      </c>
    </row>
    <row r="194" spans="14:68" x14ac:dyDescent="0.25">
      <c r="N194" s="11">
        <v>76</v>
      </c>
      <c r="O194" s="51">
        <f t="shared" si="213"/>
        <v>575.43993733715706</v>
      </c>
      <c r="P194" s="49" t="str">
        <f t="shared" si="161"/>
        <v>37.1583961085025</v>
      </c>
      <c r="Q194" s="18" t="str">
        <f t="shared" si="162"/>
        <v>1+2.83393981541679i</v>
      </c>
      <c r="R194" s="18">
        <f t="shared" si="174"/>
        <v>3.005197976407636</v>
      </c>
      <c r="S194" s="18">
        <f t="shared" si="175"/>
        <v>1.2315708791099489</v>
      </c>
      <c r="T194" s="18" t="str">
        <f t="shared" si="163"/>
        <v>1+0.00325403618349706i</v>
      </c>
      <c r="U194" s="18">
        <f t="shared" si="176"/>
        <v>1.0000052943617266</v>
      </c>
      <c r="V194" s="18">
        <f t="shared" si="177"/>
        <v>3.2540246981765408E-3</v>
      </c>
      <c r="W194" s="32" t="str">
        <f t="shared" si="164"/>
        <v>1-0.028482232219556i</v>
      </c>
      <c r="X194" s="18">
        <f t="shared" si="178"/>
        <v>1.0004055365461593</v>
      </c>
      <c r="Y194" s="18">
        <f t="shared" si="179"/>
        <v>-2.8474534014136993E-2</v>
      </c>
      <c r="Z194" s="32" t="str">
        <f t="shared" si="165"/>
        <v>0.999991721721963+0.00685757995707341i</v>
      </c>
      <c r="AA194" s="18">
        <f t="shared" si="180"/>
        <v>1.0000152348416116</v>
      </c>
      <c r="AB194" s="18">
        <f t="shared" si="181"/>
        <v>6.8575292310877455E-3</v>
      </c>
      <c r="AC194" s="32" t="str">
        <f>IMDIV(IMSUM(COMPLEX(0,2*PI()*O194*Constants!$B$61*Constants!$B$62),COMPLEX(1,0)),IMSUM(COMPLEX(0,2*PI()*O194*Constants!$B$61*Constants!$B$62),COMPLEX(2,0)))</f>
        <v>0.500026143698334+0.00361540670935151i</v>
      </c>
      <c r="AD194" s="18">
        <f t="shared" si="182"/>
        <v>0.50003921400976237</v>
      </c>
      <c r="AE194" s="18">
        <f t="shared" si="183"/>
        <v>7.230309361565746E-3</v>
      </c>
      <c r="AF194" s="66" t="str">
        <f t="shared" si="184"/>
        <v>1.91264315401278-5.88213778907534i</v>
      </c>
      <c r="AG194" s="64">
        <f t="shared" si="185"/>
        <v>15.827194113093698</v>
      </c>
      <c r="AH194" s="61">
        <f t="shared" si="186"/>
        <v>-71.987483557028753</v>
      </c>
      <c r="AI194" s="50" t="str">
        <f t="shared" si="166"/>
        <v>107.538871525172</v>
      </c>
      <c r="AJ194" s="50" t="str">
        <f t="shared" si="167"/>
        <v>1+2.69408839867452i</v>
      </c>
      <c r="AK194" s="50">
        <f t="shared" si="187"/>
        <v>2.8736931464358957</v>
      </c>
      <c r="AL194" s="50">
        <f t="shared" si="188"/>
        <v>1.2153761989939873</v>
      </c>
      <c r="AM194" s="50" t="str">
        <f t="shared" si="168"/>
        <v>1+0.00325403618349706i</v>
      </c>
      <c r="AN194" s="50">
        <f t="shared" si="189"/>
        <v>1.0000052943617266</v>
      </c>
      <c r="AO194" s="50">
        <f t="shared" si="190"/>
        <v>3.2540246981765408E-3</v>
      </c>
      <c r="AP194" s="50" t="str">
        <f t="shared" si="169"/>
        <v>1-0.00935591803766892i</v>
      </c>
      <c r="AQ194" s="50">
        <f t="shared" si="191"/>
        <v>1.000043765643448</v>
      </c>
      <c r="AR194" s="50">
        <f t="shared" si="192"/>
        <v>-9.3556450675162973E-3</v>
      </c>
      <c r="AS194" s="59" t="str">
        <f t="shared" si="193"/>
        <v>12.8085341010052-35.1635126143226i</v>
      </c>
      <c r="AT194" s="50">
        <f t="shared" si="194"/>
        <v>31.462927773661505</v>
      </c>
      <c r="AU194" s="61">
        <f t="shared" si="195"/>
        <v>-69.985523818361756</v>
      </c>
      <c r="AV194" s="32" t="str">
        <f t="shared" si="170"/>
        <v>-0.0000333333333333333</v>
      </c>
      <c r="AW194" s="32" t="str">
        <f t="shared" si="171"/>
        <v>0.000173548596453176i</v>
      </c>
      <c r="AX194" s="32">
        <f t="shared" si="196"/>
        <v>1.7354859645317601E-4</v>
      </c>
      <c r="AY194" s="32">
        <f t="shared" si="197"/>
        <v>1.5707963267948966</v>
      </c>
      <c r="AZ194" s="32" t="str">
        <f t="shared" si="172"/>
        <v>1+0.070805416955723i</v>
      </c>
      <c r="BA194" s="32">
        <f t="shared" si="198"/>
        <v>1.002503569604754</v>
      </c>
      <c r="BB194" s="32">
        <f t="shared" si="199"/>
        <v>7.068744615498207E-2</v>
      </c>
      <c r="BC194" s="32" t="str">
        <f t="shared" si="173"/>
        <v>1+3.39866001387471i</v>
      </c>
      <c r="BD194" s="32">
        <f t="shared" si="200"/>
        <v>3.5427235130490837</v>
      </c>
      <c r="BE194" s="32">
        <f t="shared" si="201"/>
        <v>1.2846381595714818</v>
      </c>
      <c r="BF194" s="59" t="str">
        <f t="shared" si="202"/>
        <v>-0.635989765155489+0.23710068161575i</v>
      </c>
      <c r="BG194" s="50">
        <f t="shared" si="203"/>
        <v>-3.365820567845045</v>
      </c>
      <c r="BH194" s="61">
        <f t="shared" si="204"/>
        <v>159.55425241566076</v>
      </c>
      <c r="BI194" s="59" t="str">
        <f t="shared" si="205"/>
        <v>0.178237408800682+4.19446842659038i</v>
      </c>
      <c r="BJ194" s="64">
        <f t="shared" si="206"/>
        <v>12.461373545248653</v>
      </c>
      <c r="BK194" s="61">
        <f t="shared" si="207"/>
        <v>87.566768858632017</v>
      </c>
      <c r="BL194" s="59" t="str">
        <f t="shared" si="211"/>
        <v>0.191196213975541+25.400546295472i</v>
      </c>
      <c r="BM194" s="64">
        <f t="shared" si="208"/>
        <v>28.097107205816453</v>
      </c>
      <c r="BN194" s="61">
        <f t="shared" si="212"/>
        <v>89.568728597299014</v>
      </c>
      <c r="BO194" s="50">
        <f t="shared" si="209"/>
        <v>12.461373545248653</v>
      </c>
      <c r="BP194" s="61">
        <f t="shared" si="210"/>
        <v>87.566768858632017</v>
      </c>
    </row>
    <row r="195" spans="14:68" x14ac:dyDescent="0.25">
      <c r="N195" s="11">
        <v>77</v>
      </c>
      <c r="O195" s="51">
        <f t="shared" si="213"/>
        <v>588.84365535558959</v>
      </c>
      <c r="P195" s="49" t="str">
        <f t="shared" si="161"/>
        <v>37.1583961085025</v>
      </c>
      <c r="Q195" s="18" t="str">
        <f t="shared" si="162"/>
        <v>1+2.89995075366142i</v>
      </c>
      <c r="R195" s="18">
        <f t="shared" si="174"/>
        <v>3.0675257739196646</v>
      </c>
      <c r="S195" s="18">
        <f t="shared" si="175"/>
        <v>1.2387316257678458</v>
      </c>
      <c r="T195" s="18" t="str">
        <f t="shared" si="163"/>
        <v>1+0.00332983242320055i</v>
      </c>
      <c r="U195" s="18">
        <f t="shared" si="176"/>
        <v>1.000005543876616</v>
      </c>
      <c r="V195" s="18">
        <f t="shared" si="177"/>
        <v>3.3298201164615716E-3</v>
      </c>
      <c r="W195" s="32" t="str">
        <f t="shared" si="164"/>
        <v>1-0.0291456686347848i</v>
      </c>
      <c r="X195" s="18">
        <f t="shared" si="178"/>
        <v>1.0004246448384648</v>
      </c>
      <c r="Y195" s="18">
        <f t="shared" si="179"/>
        <v>-2.9137420048152927E-2</v>
      </c>
      <c r="Z195" s="32" t="str">
        <f t="shared" si="165"/>
        <v>0.999991331578739+0.00701731351407818i</v>
      </c>
      <c r="AA195" s="18">
        <f t="shared" si="180"/>
        <v>1.0000159528335406</v>
      </c>
      <c r="AB195" s="18">
        <f t="shared" si="181"/>
        <v>7.0172591602473463E-3</v>
      </c>
      <c r="AC195" s="32" t="str">
        <f>IMDIV(IMSUM(COMPLEX(0,2*PI()*O195*Constants!$B$61*Constants!$B$62),COMPLEX(1,0)),IMSUM(COMPLEX(0,2*PI()*O195*Constants!$B$61*Constants!$B$62),COMPLEX(2,0)))</f>
        <v>0.500027375745417+0.0036996112332346i</v>
      </c>
      <c r="AD195" s="18">
        <f t="shared" si="182"/>
        <v>0.50004106193204323</v>
      </c>
      <c r="AE195" s="18">
        <f t="shared" si="183"/>
        <v>7.3986823647058603E-3</v>
      </c>
      <c r="AF195" s="66" t="str">
        <f t="shared" si="184"/>
        <v>1.8291680697084-5.77707886514942i</v>
      </c>
      <c r="AG195" s="64">
        <f t="shared" si="185"/>
        <v>15.64908539266307</v>
      </c>
      <c r="AH195" s="61">
        <f t="shared" si="186"/>
        <v>-72.430906721500662</v>
      </c>
      <c r="AI195" s="50" t="str">
        <f t="shared" si="166"/>
        <v>107.538871525172</v>
      </c>
      <c r="AJ195" s="50" t="str">
        <f t="shared" si="167"/>
        <v>1+2.75684177894851i</v>
      </c>
      <c r="AK195" s="50">
        <f t="shared" si="187"/>
        <v>2.9326057686221629</v>
      </c>
      <c r="AL195" s="50">
        <f t="shared" si="188"/>
        <v>1.2228226109908731</v>
      </c>
      <c r="AM195" s="50" t="str">
        <f t="shared" si="168"/>
        <v>1+0.00332983242320055i</v>
      </c>
      <c r="AN195" s="50">
        <f t="shared" si="189"/>
        <v>1.000005543876616</v>
      </c>
      <c r="AO195" s="50">
        <f t="shared" si="190"/>
        <v>3.3298201164615716E-3</v>
      </c>
      <c r="AP195" s="50" t="str">
        <f t="shared" si="169"/>
        <v>1-0.00957384536429971i</v>
      </c>
      <c r="AQ195" s="50">
        <f t="shared" si="191"/>
        <v>1.0000458282074174</v>
      </c>
      <c r="AR195" s="50">
        <f t="shared" si="192"/>
        <v>-9.5735528722353403E-3</v>
      </c>
      <c r="AS195" s="59" t="str">
        <f t="shared" si="193"/>
        <v>12.2894164747222-34.5514508818868i</v>
      </c>
      <c r="AT195" s="50">
        <f t="shared" si="194"/>
        <v>31.286682009213141</v>
      </c>
      <c r="AU195" s="61">
        <f t="shared" si="195"/>
        <v>-70.4203142382582</v>
      </c>
      <c r="AV195" s="32" t="str">
        <f t="shared" si="170"/>
        <v>-0.0000333333333333333</v>
      </c>
      <c r="AW195" s="32" t="str">
        <f t="shared" si="171"/>
        <v>0.000177591062570696i</v>
      </c>
      <c r="AX195" s="32">
        <f t="shared" si="196"/>
        <v>1.7759106257069599E-4</v>
      </c>
      <c r="AY195" s="32">
        <f t="shared" si="197"/>
        <v>1.5707963267948966</v>
      </c>
      <c r="AZ195" s="32" t="str">
        <f t="shared" si="172"/>
        <v>1+0.0724546869863082i</v>
      </c>
      <c r="BA195" s="32">
        <f t="shared" si="198"/>
        <v>1.002621404951183</v>
      </c>
      <c r="BB195" s="32">
        <f t="shared" si="199"/>
        <v>7.2328296838952699E-2</v>
      </c>
      <c r="BC195" s="32" t="str">
        <f t="shared" si="173"/>
        <v>1+3.4778249753428i</v>
      </c>
      <c r="BD195" s="32">
        <f t="shared" si="200"/>
        <v>3.6187382551267988</v>
      </c>
      <c r="BE195" s="32">
        <f t="shared" si="201"/>
        <v>1.2908132217285044</v>
      </c>
      <c r="BF195" s="59" t="str">
        <f t="shared" si="202"/>
        <v>-0.635840281671366+0.23376674182048i</v>
      </c>
      <c r="BG195" s="50">
        <f t="shared" si="203"/>
        <v>-3.382443220729654</v>
      </c>
      <c r="BH195" s="61">
        <f t="shared" si="204"/>
        <v>159.81404359648641</v>
      </c>
      <c r="BI195" s="59" t="str">
        <f t="shared" si="205"/>
        <v>0.187430162878278+4.10089811275209i</v>
      </c>
      <c r="BJ195" s="64">
        <f t="shared" si="206"/>
        <v>12.266642171933411</v>
      </c>
      <c r="BK195" s="61">
        <f t="shared" si="207"/>
        <v>87.383136874985738</v>
      </c>
      <c r="BL195" s="59" t="str">
        <f t="shared" si="211"/>
        <v>0.262874064964938+24.842061109064i</v>
      </c>
      <c r="BM195" s="64">
        <f t="shared" si="208"/>
        <v>27.904238788483482</v>
      </c>
      <c r="BN195" s="61">
        <f t="shared" si="212"/>
        <v>89.3937293582282</v>
      </c>
      <c r="BO195" s="50">
        <f t="shared" si="209"/>
        <v>12.266642171933411</v>
      </c>
      <c r="BP195" s="61">
        <f t="shared" si="210"/>
        <v>87.383136874985738</v>
      </c>
    </row>
    <row r="196" spans="14:68" x14ac:dyDescent="0.25">
      <c r="N196" s="11">
        <v>78</v>
      </c>
      <c r="O196" s="51">
        <f t="shared" si="213"/>
        <v>602.55958607435832</v>
      </c>
      <c r="P196" s="49" t="str">
        <f t="shared" si="161"/>
        <v>37.1583961085025</v>
      </c>
      <c r="Q196" s="18" t="str">
        <f t="shared" si="162"/>
        <v>1+2.96749928418102i</v>
      </c>
      <c r="R196" s="18">
        <f t="shared" si="174"/>
        <v>3.1314616398121289</v>
      </c>
      <c r="S196" s="18">
        <f t="shared" si="175"/>
        <v>1.2457637116894857</v>
      </c>
      <c r="T196" s="18" t="str">
        <f t="shared" si="163"/>
        <v>1+0.00340739418413036i</v>
      </c>
      <c r="U196" s="18">
        <f t="shared" si="176"/>
        <v>1.000005805150713</v>
      </c>
      <c r="V196" s="18">
        <f t="shared" si="177"/>
        <v>3.4073809972260945E-3</v>
      </c>
      <c r="W196" s="32" t="str">
        <f t="shared" si="164"/>
        <v>1-0.0298245584693122i</v>
      </c>
      <c r="X196" s="18">
        <f t="shared" si="178"/>
        <v>1.0004446532856726</v>
      </c>
      <c r="Y196" s="18">
        <f t="shared" si="179"/>
        <v>-2.9815720161646148E-2</v>
      </c>
      <c r="Z196" s="32" t="str">
        <f t="shared" si="165"/>
        <v>0.999990923048631+0.00718076774359323i</v>
      </c>
      <c r="AA196" s="18">
        <f t="shared" si="180"/>
        <v>1.0000167046629973</v>
      </c>
      <c r="AB196" s="18">
        <f t="shared" si="181"/>
        <v>7.1807095024613967E-3</v>
      </c>
      <c r="AC196" s="32" t="str">
        <f>IMDIV(IMSUM(COMPLEX(0,2*PI()*O196*Constants!$B$61*Constants!$B$62),COMPLEX(1,0)),IMSUM(COMPLEX(0,2*PI()*O196*Constants!$B$61*Constants!$B$62),COMPLEX(2,0)))</f>
        <v>0.500028665850582+0.0037857764804725i</v>
      </c>
      <c r="AD196" s="18">
        <f t="shared" si="182"/>
        <v>0.50004299692713738</v>
      </c>
      <c r="AE196" s="18">
        <f t="shared" si="183"/>
        <v>7.5709742373021869E-3</v>
      </c>
      <c r="AF196" s="66" t="str">
        <f t="shared" si="184"/>
        <v>1.74866560501025-5.67275558336827i</v>
      </c>
      <c r="AG196" s="64">
        <f t="shared" si="185"/>
        <v>15.470110947876531</v>
      </c>
      <c r="AH196" s="61">
        <f t="shared" si="186"/>
        <v>-72.867728806231923</v>
      </c>
      <c r="AI196" s="50" t="str">
        <f t="shared" si="166"/>
        <v>107.538871525172</v>
      </c>
      <c r="AJ196" s="50" t="str">
        <f t="shared" si="167"/>
        <v>1+2.82105687322482i</v>
      </c>
      <c r="AK196" s="50">
        <f t="shared" si="187"/>
        <v>2.9930522684993326</v>
      </c>
      <c r="AL196" s="50">
        <f t="shared" si="188"/>
        <v>1.2301385994723903</v>
      </c>
      <c r="AM196" s="50" t="str">
        <f t="shared" si="168"/>
        <v>1+0.00340739418413036i</v>
      </c>
      <c r="AN196" s="50">
        <f t="shared" si="189"/>
        <v>1.000005805150713</v>
      </c>
      <c r="AO196" s="50">
        <f t="shared" si="190"/>
        <v>3.4073809972260945E-3</v>
      </c>
      <c r="AP196" s="50" t="str">
        <f t="shared" si="169"/>
        <v>1-0.00979684887046747i</v>
      </c>
      <c r="AQ196" s="50">
        <f t="shared" si="191"/>
        <v>1.0000479879724726</v>
      </c>
      <c r="AR196" s="50">
        <f t="shared" si="192"/>
        <v>-9.796535460386115E-3</v>
      </c>
      <c r="AS196" s="59" t="str">
        <f t="shared" si="193"/>
        <v>11.7883239113372-33.9426469405081i</v>
      </c>
      <c r="AT196" s="50">
        <f t="shared" si="194"/>
        <v>31.109490705414331</v>
      </c>
      <c r="AU196" s="61">
        <f t="shared" si="195"/>
        <v>-70.847821551298139</v>
      </c>
      <c r="AV196" s="32" t="str">
        <f t="shared" si="170"/>
        <v>-0.0000333333333333333</v>
      </c>
      <c r="AW196" s="32" t="str">
        <f t="shared" si="171"/>
        <v>0.000181727689820286i</v>
      </c>
      <c r="AX196" s="32">
        <f t="shared" si="196"/>
        <v>1.8172768982028601E-4</v>
      </c>
      <c r="AY196" s="32">
        <f t="shared" si="197"/>
        <v>1.5707963267948966</v>
      </c>
      <c r="AZ196" s="32" t="str">
        <f t="shared" si="172"/>
        <v>1+0.0741423734509847i</v>
      </c>
      <c r="BA196" s="32">
        <f t="shared" si="198"/>
        <v>1.0027447788649639</v>
      </c>
      <c r="BB196" s="32">
        <f t="shared" si="199"/>
        <v>7.4006963981497906E-2</v>
      </c>
      <c r="BC196" s="32" t="str">
        <f t="shared" si="173"/>
        <v>1+3.55883392564727i</v>
      </c>
      <c r="BD196" s="32">
        <f t="shared" si="200"/>
        <v>3.6966605078554289</v>
      </c>
      <c r="BE196" s="32">
        <f t="shared" si="201"/>
        <v>1.2968689854198236</v>
      </c>
      <c r="BF196" s="59" t="str">
        <f t="shared" si="202"/>
        <v>-0.635683828544136+0.230555732680226i</v>
      </c>
      <c r="BG196" s="50">
        <f t="shared" si="203"/>
        <v>-3.3984640386925022</v>
      </c>
      <c r="BH196" s="61">
        <f t="shared" si="204"/>
        <v>160.06483275525247</v>
      </c>
      <c r="BI196" s="59" t="str">
        <f t="shared" si="205"/>
        <v>0.196287873202951+4.00924386740651i</v>
      </c>
      <c r="BJ196" s="64">
        <f t="shared" si="206"/>
        <v>12.071646909184018</v>
      </c>
      <c r="BK196" s="61">
        <f t="shared" si="207"/>
        <v>87.197103949020544</v>
      </c>
      <c r="BL196" s="59" t="str">
        <f t="shared" si="211"/>
        <v>0.332024958397861+24.2946574145143i</v>
      </c>
      <c r="BM196" s="64">
        <f t="shared" si="208"/>
        <v>27.711026666721835</v>
      </c>
      <c r="BN196" s="61">
        <f t="shared" si="212"/>
        <v>89.217011203954328</v>
      </c>
      <c r="BO196" s="50">
        <f t="shared" si="209"/>
        <v>12.071646909184018</v>
      </c>
      <c r="BP196" s="61">
        <f t="shared" si="210"/>
        <v>87.197103949020544</v>
      </c>
    </row>
    <row r="197" spans="14:68" x14ac:dyDescent="0.25">
      <c r="N197" s="11">
        <v>79</v>
      </c>
      <c r="O197" s="51">
        <f t="shared" si="213"/>
        <v>616.59500186148273</v>
      </c>
      <c r="P197" s="49" t="str">
        <f t="shared" si="161"/>
        <v>37.1583961085025</v>
      </c>
      <c r="Q197" s="18" t="str">
        <f t="shared" si="162"/>
        <v>1+3.03662122210059i</v>
      </c>
      <c r="R197" s="18">
        <f t="shared" si="174"/>
        <v>3.1970405763004761</v>
      </c>
      <c r="S197" s="18">
        <f t="shared" si="175"/>
        <v>1.2526680825637118</v>
      </c>
      <c r="T197" s="18" t="str">
        <f t="shared" si="163"/>
        <v>1+0.0034867625905588i</v>
      </c>
      <c r="U197" s="18">
        <f t="shared" si="176"/>
        <v>1.0000060787382059</v>
      </c>
      <c r="V197" s="18">
        <f t="shared" si="177"/>
        <v>3.4867484605409418E-3</v>
      </c>
      <c r="W197" s="32" t="str">
        <f t="shared" si="164"/>
        <v>1-0.0305192616795148i</v>
      </c>
      <c r="X197" s="18">
        <f t="shared" si="178"/>
        <v>1.0004656042730617</v>
      </c>
      <c r="Y197" s="18">
        <f t="shared" si="179"/>
        <v>-3.050979150024833E-2</v>
      </c>
      <c r="Z197" s="32" t="str">
        <f t="shared" si="165"/>
        <v>0.999990495265092+0.00734802931121464i</v>
      </c>
      <c r="AA197" s="18">
        <f t="shared" si="180"/>
        <v>1.0000174919246574</v>
      </c>
      <c r="AB197" s="18">
        <f t="shared" si="181"/>
        <v>7.3479669047705042E-3</v>
      </c>
      <c r="AC197" s="32" t="str">
        <f>IMDIV(IMSUM(COMPLEX(0,2*PI()*O197*Constants!$B$61*Constants!$B$62),COMPLEX(1,0)),IMSUM(COMPLEX(0,2*PI()*O197*Constants!$B$61*Constants!$B$62),COMPLEX(2,0)))</f>
        <v>0.500030016749395+0.00387394807555672i</v>
      </c>
      <c r="AD197" s="18">
        <f t="shared" si="182"/>
        <v>0.50004502309701315</v>
      </c>
      <c r="AE197" s="18">
        <f t="shared" si="183"/>
        <v>7.7472760440916045E-3</v>
      </c>
      <c r="AF197" s="66" t="str">
        <f t="shared" si="184"/>
        <v>1.6710606094218-5.56923649242493i</v>
      </c>
      <c r="AG197" s="64">
        <f t="shared" si="185"/>
        <v>15.290302530389861</v>
      </c>
      <c r="AH197" s="61">
        <f t="shared" si="186"/>
        <v>-73.298021849017502</v>
      </c>
      <c r="AI197" s="50" t="str">
        <f t="shared" si="166"/>
        <v>107.538871525172</v>
      </c>
      <c r="AJ197" s="50" t="str">
        <f t="shared" si="167"/>
        <v>1+2.88676772919642i</v>
      </c>
      <c r="AK197" s="50">
        <f t="shared" si="187"/>
        <v>3.0550659440231165</v>
      </c>
      <c r="AL197" s="50">
        <f t="shared" si="188"/>
        <v>1.237324909882201</v>
      </c>
      <c r="AM197" s="50" t="str">
        <f t="shared" si="168"/>
        <v>1+0.0034867625905588i</v>
      </c>
      <c r="AN197" s="50">
        <f t="shared" si="189"/>
        <v>1.0000060787382059</v>
      </c>
      <c r="AO197" s="50">
        <f t="shared" si="190"/>
        <v>3.4867484605409418E-3</v>
      </c>
      <c r="AP197" s="50" t="str">
        <f t="shared" si="169"/>
        <v>1-0.010025046795583i</v>
      </c>
      <c r="AQ197" s="50">
        <f t="shared" si="191"/>
        <v>1.0000502495191197</v>
      </c>
      <c r="AR197" s="50">
        <f t="shared" si="192"/>
        <v>-1.0024710971541723E-2</v>
      </c>
      <c r="AS197" s="59" t="str">
        <f t="shared" si="193"/>
        <v>11.3048376379474-33.3375601821508i</v>
      </c>
      <c r="AT197" s="50">
        <f t="shared" si="194"/>
        <v>30.931386966821091</v>
      </c>
      <c r="AU197" s="61">
        <f t="shared" si="195"/>
        <v>-71.268092881150139</v>
      </c>
      <c r="AV197" s="32" t="str">
        <f t="shared" si="170"/>
        <v>-0.0000333333333333333</v>
      </c>
      <c r="AW197" s="32" t="str">
        <f t="shared" si="171"/>
        <v>0.000185960671496469i</v>
      </c>
      <c r="AX197" s="32">
        <f t="shared" si="196"/>
        <v>1.8596067149646901E-4</v>
      </c>
      <c r="AY197" s="32">
        <f t="shared" si="197"/>
        <v>1.5707963267948966</v>
      </c>
      <c r="AZ197" s="32" t="str">
        <f t="shared" si="172"/>
        <v>1+0.0758693711834554i</v>
      </c>
      <c r="BA197" s="32">
        <f t="shared" si="198"/>
        <v>1.0028739509448696</v>
      </c>
      <c r="BB197" s="32">
        <f t="shared" si="199"/>
        <v>7.5724299770106418E-2</v>
      </c>
      <c r="BC197" s="32" t="str">
        <f t="shared" si="173"/>
        <v>1+3.64172981680586i</v>
      </c>
      <c r="BD197" s="32">
        <f t="shared" si="200"/>
        <v>3.7765322795671752</v>
      </c>
      <c r="BE197" s="32">
        <f t="shared" si="201"/>
        <v>1.3028068841678362</v>
      </c>
      <c r="BF197" s="59" t="str">
        <f t="shared" si="202"/>
        <v>-0.635520084508133+0.22746587984652i</v>
      </c>
      <c r="BG197" s="50">
        <f t="shared" si="203"/>
        <v>-3.4139102045833236</v>
      </c>
      <c r="BH197" s="61">
        <f t="shared" si="204"/>
        <v>160.30665319999557</v>
      </c>
      <c r="BI197" s="59" t="str">
        <f t="shared" si="205"/>
        <v>0.204818699104829+3.91947091811066i</v>
      </c>
      <c r="BJ197" s="64">
        <f t="shared" si="206"/>
        <v>11.876392325806533</v>
      </c>
      <c r="BK197" s="61">
        <f t="shared" si="207"/>
        <v>87.008631350978078</v>
      </c>
      <c r="BL197" s="59" t="str">
        <f t="shared" si="211"/>
        <v>0.398706087750189+23.7581539040932i</v>
      </c>
      <c r="BM197" s="64">
        <f t="shared" si="208"/>
        <v>27.517476762237763</v>
      </c>
      <c r="BN197" s="61">
        <f t="shared" si="212"/>
        <v>89.038560318845427</v>
      </c>
      <c r="BO197" s="50">
        <f t="shared" si="209"/>
        <v>11.876392325806533</v>
      </c>
      <c r="BP197" s="61">
        <f t="shared" si="210"/>
        <v>87.008631350978078</v>
      </c>
    </row>
    <row r="198" spans="14:68" x14ac:dyDescent="0.25">
      <c r="N198" s="11">
        <v>80</v>
      </c>
      <c r="O198" s="51">
        <f t="shared" si="213"/>
        <v>630.95734448019323</v>
      </c>
      <c r="P198" s="49" t="str">
        <f t="shared" si="161"/>
        <v>37.1583961085025</v>
      </c>
      <c r="Q198" s="18" t="str">
        <f t="shared" si="162"/>
        <v>1+3.10735321678655i</v>
      </c>
      <c r="R198" s="18">
        <f t="shared" si="174"/>
        <v>3.2642983953483355</v>
      </c>
      <c r="S198" s="18">
        <f t="shared" si="175"/>
        <v>1.2594457652251638</v>
      </c>
      <c r="T198" s="18" t="str">
        <f t="shared" si="163"/>
        <v>1+0.0035679797246655i</v>
      </c>
      <c r="U198" s="18">
        <f t="shared" si="176"/>
        <v>1.0000063652193998</v>
      </c>
      <c r="V198" s="18">
        <f t="shared" si="177"/>
        <v>3.5679645840837868E-3</v>
      </c>
      <c r="W198" s="32" t="str">
        <f t="shared" si="164"/>
        <v>1-0.03123014660623i</v>
      </c>
      <c r="X198" s="18">
        <f t="shared" si="178"/>
        <v>1.0004875421798347</v>
      </c>
      <c r="Y198" s="18">
        <f t="shared" si="179"/>
        <v>-3.1219999393372132E-2</v>
      </c>
      <c r="Z198" s="32" t="str">
        <f t="shared" si="165"/>
        <v>0.999990047320736+0.00751918690123951i</v>
      </c>
      <c r="AA198" s="18">
        <f t="shared" si="180"/>
        <v>1.0000183162883485</v>
      </c>
      <c r="AB198" s="18">
        <f t="shared" si="181"/>
        <v>7.5191200315892935E-3</v>
      </c>
      <c r="AC198" s="32" t="str">
        <f>IMDIV(IMSUM(COMPLEX(0,2*PI()*O198*Constants!$B$61*Constants!$B$62),COMPLEX(1,0)),IMSUM(COMPLEX(0,2*PI()*O198*Constants!$B$61*Constants!$B$62),COMPLEX(2,0)))</f>
        <v>0.500031431306282+0.00396417270237603i</v>
      </c>
      <c r="AD198" s="18">
        <f t="shared" si="182"/>
        <v>0.50004714473679712</v>
      </c>
      <c r="AE198" s="18">
        <f t="shared" si="183"/>
        <v>7.9276809554378203E-3</v>
      </c>
      <c r="AF198" s="66" t="str">
        <f t="shared" si="184"/>
        <v>1.59627732117651-5.46658519137606i</v>
      </c>
      <c r="AG198" s="64">
        <f t="shared" si="185"/>
        <v>15.109691106607796</v>
      </c>
      <c r="AH198" s="61">
        <f t="shared" si="186"/>
        <v>-73.721862945936749</v>
      </c>
      <c r="AI198" s="50" t="str">
        <f t="shared" si="166"/>
        <v>107.538871525172</v>
      </c>
      <c r="AJ198" s="50" t="str">
        <f t="shared" si="167"/>
        <v>1+2.95400918762891i</v>
      </c>
      <c r="AK198" s="50">
        <f t="shared" si="187"/>
        <v>3.1186808558421002</v>
      </c>
      <c r="AL198" s="50">
        <f t="shared" si="188"/>
        <v>1.2443823825743257</v>
      </c>
      <c r="AM198" s="50" t="str">
        <f t="shared" si="168"/>
        <v>1+0.0035679797246655i</v>
      </c>
      <c r="AN198" s="50">
        <f t="shared" si="189"/>
        <v>1.0000063652193998</v>
      </c>
      <c r="AO198" s="50">
        <f t="shared" si="190"/>
        <v>3.5679645840837868E-3</v>
      </c>
      <c r="AP198" s="50" t="str">
        <f t="shared" si="169"/>
        <v>1-0.0102585601332067i</v>
      </c>
      <c r="AQ198" s="50">
        <f t="shared" si="191"/>
        <v>1.0000526176436952</v>
      </c>
      <c r="AR198" s="50">
        <f t="shared" si="192"/>
        <v>-1.0258200292285854E-2</v>
      </c>
      <c r="AS198" s="59" t="str">
        <f t="shared" si="193"/>
        <v>10.8385317683871-32.7366198912063i</v>
      </c>
      <c r="AT198" s="50">
        <f t="shared" si="194"/>
        <v>30.752403116144617</v>
      </c>
      <c r="AU198" s="61">
        <f t="shared" si="195"/>
        <v>-71.681180891970342</v>
      </c>
      <c r="AV198" s="32" t="str">
        <f t="shared" si="170"/>
        <v>-0.0000333333333333333</v>
      </c>
      <c r="AW198" s="32" t="str">
        <f t="shared" si="171"/>
        <v>0.00019029225198216i</v>
      </c>
      <c r="AX198" s="32">
        <f t="shared" si="196"/>
        <v>1.9029225198215999E-4</v>
      </c>
      <c r="AY198" s="32">
        <f t="shared" si="197"/>
        <v>1.5707963267948966</v>
      </c>
      <c r="AZ198" s="32" t="str">
        <f t="shared" si="172"/>
        <v>1+0.0776365958607771i</v>
      </c>
      <c r="BA198" s="32">
        <f t="shared" si="198"/>
        <v>1.0030091928875078</v>
      </c>
      <c r="BB198" s="32">
        <f t="shared" si="199"/>
        <v>7.7481174217550908E-2</v>
      </c>
      <c r="BC198" s="32" t="str">
        <f t="shared" si="173"/>
        <v>1+3.72655660131731i</v>
      </c>
      <c r="BD198" s="32">
        <f t="shared" si="200"/>
        <v>3.8583965714816855</v>
      </c>
      <c r="BE198" s="32">
        <f t="shared" si="201"/>
        <v>1.3086283907603666</v>
      </c>
      <c r="BF198" s="59" t="str">
        <f t="shared" si="202"/>
        <v>-0.635348713842923+0.224495468169565i</v>
      </c>
      <c r="BG198" s="50">
        <f t="shared" si="203"/>
        <v>-3.4288082185709934</v>
      </c>
      <c r="BH198" s="61">
        <f t="shared" si="204"/>
        <v>160.53953946718224</v>
      </c>
      <c r="BI198" s="59" t="str">
        <f t="shared" si="205"/>
        <v>0.213030858880658+3.83154489499953i</v>
      </c>
      <c r="BJ198" s="64">
        <f t="shared" si="206"/>
        <v>11.680882888036805</v>
      </c>
      <c r="BK198" s="61">
        <f t="shared" si="207"/>
        <v>86.817676521245502</v>
      </c>
      <c r="BL198" s="59" t="str">
        <f t="shared" si="211"/>
        <v>0.462975589775048+23.2323706070573i</v>
      </c>
      <c r="BM198" s="64">
        <f t="shared" si="208"/>
        <v>27.32359489757361</v>
      </c>
      <c r="BN198" s="61">
        <f t="shared" si="212"/>
        <v>88.858358575211909</v>
      </c>
      <c r="BO198" s="50">
        <f t="shared" si="209"/>
        <v>11.680882888036805</v>
      </c>
      <c r="BP198" s="61">
        <f t="shared" si="210"/>
        <v>86.817676521245502</v>
      </c>
    </row>
    <row r="199" spans="14:68" x14ac:dyDescent="0.25">
      <c r="N199" s="11">
        <v>81</v>
      </c>
      <c r="O199" s="51">
        <f t="shared" si="213"/>
        <v>645.65422903465594</v>
      </c>
      <c r="P199" s="49" t="str">
        <f t="shared" si="161"/>
        <v>37.1583961085025</v>
      </c>
      <c r="Q199" s="18" t="str">
        <f t="shared" si="162"/>
        <v>1+3.17973277127874i</v>
      </c>
      <c r="R199" s="18">
        <f t="shared" si="174"/>
        <v>3.3332717406092129</v>
      </c>
      <c r="S199" s="18">
        <f t="shared" si="175"/>
        <v>1.2660978616621252</v>
      </c>
      <c r="T199" s="18" t="str">
        <f t="shared" si="163"/>
        <v>1+0.00365108864885002i</v>
      </c>
      <c r="U199" s="18">
        <f t="shared" si="176"/>
        <v>1.0000066652019484</v>
      </c>
      <c r="V199" s="18">
        <f t="shared" si="177"/>
        <v>3.6510724254302618E-3</v>
      </c>
      <c r="W199" s="32" t="str">
        <f t="shared" si="164"/>
        <v>1-0.0319575901700558i</v>
      </c>
      <c r="X199" s="18">
        <f t="shared" si="178"/>
        <v>1.0005105134727357</v>
      </c>
      <c r="Y199" s="18">
        <f t="shared" si="179"/>
        <v>-3.1946717535200293E-2</v>
      </c>
      <c r="Z199" s="32" t="str">
        <f t="shared" si="165"/>
        <v>0.999989578265413+0.00769433126368763i</v>
      </c>
      <c r="AA199" s="18">
        <f t="shared" si="180"/>
        <v>1.0000191795025903</v>
      </c>
      <c r="AB199" s="18">
        <f t="shared" si="181"/>
        <v>7.6942596116331878E-3</v>
      </c>
      <c r="AC199" s="32" t="str">
        <f>IMDIV(IMSUM(COMPLEX(0,2*PI()*O199*Constants!$B$61*Constants!$B$62),COMPLEX(1,0)),IMSUM(COMPLEX(0,2*PI()*O199*Constants!$B$61*Constants!$B$62),COMPLEX(2,0)))</f>
        <v>0.500032912520604+0.00405649812865475i</v>
      </c>
      <c r="AD199" s="18">
        <f t="shared" si="182"/>
        <v>0.50004936634386998</v>
      </c>
      <c r="AE199" s="18">
        <f t="shared" si="183"/>
        <v>8.1122842952672386E-3</v>
      </c>
      <c r="AF199" s="66" t="str">
        <f t="shared" si="184"/>
        <v>1.52423962112163-5.36486047649344i</v>
      </c>
      <c r="AG199" s="64">
        <f t="shared" si="185"/>
        <v>14.928306853478258</v>
      </c>
      <c r="AH199" s="61">
        <f t="shared" si="186"/>
        <v>-74.139333917063468</v>
      </c>
      <c r="AI199" s="50" t="str">
        <f t="shared" si="166"/>
        <v>107.538871525172</v>
      </c>
      <c r="AJ199" s="50" t="str">
        <f t="shared" si="167"/>
        <v>1+3.02281690083363i</v>
      </c>
      <c r="AK199" s="50">
        <f t="shared" si="187"/>
        <v>3.1839318485114334</v>
      </c>
      <c r="AL199" s="50">
        <f t="shared" si="188"/>
        <v>1.2513119464550908</v>
      </c>
      <c r="AM199" s="50" t="str">
        <f t="shared" si="168"/>
        <v>1+0.00365108864885002i</v>
      </c>
      <c r="AN199" s="50">
        <f t="shared" si="189"/>
        <v>1.0000066652019484</v>
      </c>
      <c r="AO199" s="50">
        <f t="shared" si="190"/>
        <v>3.6510724254302618E-3</v>
      </c>
      <c r="AP199" s="50" t="str">
        <f t="shared" si="169"/>
        <v>1-0.0104975126952011i</v>
      </c>
      <c r="AQ199" s="50">
        <f t="shared" si="191"/>
        <v>1.0000550973685329</v>
      </c>
      <c r="AR199" s="50">
        <f t="shared" si="192"/>
        <v>-1.0497127119854906E-2</v>
      </c>
      <c r="AS199" s="59" t="str">
        <f t="shared" si="193"/>
        <v>10.3889750071525-32.1402259498862i</v>
      </c>
      <c r="AT199" s="50">
        <f t="shared" si="194"/>
        <v>30.572570682748562</v>
      </c>
      <c r="AU199" s="61">
        <f t="shared" si="195"/>
        <v>-72.087143426483038</v>
      </c>
      <c r="AV199" s="32" t="str">
        <f t="shared" si="170"/>
        <v>-0.0000333333333333333</v>
      </c>
      <c r="AW199" s="32" t="str">
        <f t="shared" si="171"/>
        <v>0.000194724727938668i</v>
      </c>
      <c r="AX199" s="32">
        <f t="shared" si="196"/>
        <v>1.9472472793866799E-4</v>
      </c>
      <c r="AY199" s="32">
        <f t="shared" si="197"/>
        <v>1.5707963267948966</v>
      </c>
      <c r="AZ199" s="32" t="str">
        <f t="shared" si="172"/>
        <v>1+0.0794449844888662i</v>
      </c>
      <c r="BA199" s="32">
        <f t="shared" si="198"/>
        <v>1.0031507890444169</v>
      </c>
      <c r="BB199" s="32">
        <f t="shared" si="199"/>
        <v>7.9278475435406406E-2</v>
      </c>
      <c r="BC199" s="32" t="str">
        <f t="shared" si="173"/>
        <v>1+3.81335925546558i</v>
      </c>
      <c r="BD199" s="32">
        <f t="shared" si="200"/>
        <v>3.9422974026885647</v>
      </c>
      <c r="BE199" s="32">
        <f t="shared" si="201"/>
        <v>1.3143350128741365</v>
      </c>
      <c r="BF199" s="59" t="str">
        <f t="shared" si="202"/>
        <v>-0.635169365756946+0.221642840440084i</v>
      </c>
      <c r="BG199" s="50">
        <f t="shared" si="203"/>
        <v>-3.4431839130825468</v>
      </c>
      <c r="BH199" s="61">
        <f t="shared" si="204"/>
        <v>160.76352705528035</v>
      </c>
      <c r="BI199" s="59" t="str">
        <f t="shared" si="205"/>
        <v>0.220932601165315+3.74543182536556i</v>
      </c>
      <c r="BJ199" s="64">
        <f t="shared" si="206"/>
        <v>11.485122940395707</v>
      </c>
      <c r="BK199" s="61">
        <f t="shared" si="207"/>
        <v>86.624193138216896</v>
      </c>
      <c r="BL199" s="59" t="str">
        <f t="shared" si="211"/>
        <v>0.524892305761058+22.7171288617205i</v>
      </c>
      <c r="BM199" s="64">
        <f t="shared" si="208"/>
        <v>27.129386769666027</v>
      </c>
      <c r="BN199" s="61">
        <f t="shared" si="212"/>
        <v>88.676383628797325</v>
      </c>
      <c r="BO199" s="50">
        <f t="shared" si="209"/>
        <v>11.485122940395707</v>
      </c>
      <c r="BP199" s="61">
        <f t="shared" si="210"/>
        <v>86.624193138216896</v>
      </c>
    </row>
    <row r="200" spans="14:68" x14ac:dyDescent="0.25">
      <c r="N200" s="11">
        <v>82</v>
      </c>
      <c r="O200" s="51">
        <f t="shared" si="213"/>
        <v>660.69344800759643</v>
      </c>
      <c r="P200" s="49" t="str">
        <f t="shared" si="161"/>
        <v>37.1583961085025</v>
      </c>
      <c r="Q200" s="18" t="str">
        <f t="shared" si="162"/>
        <v>1+3.253798262175i</v>
      </c>
      <c r="R200" s="18">
        <f t="shared" si="174"/>
        <v>3.4039981097134953</v>
      </c>
      <c r="S200" s="18">
        <f t="shared" si="175"/>
        <v>1.2726255432099463</v>
      </c>
      <c r="T200" s="18" t="str">
        <f t="shared" si="163"/>
        <v>1+0.00373613342856404i</v>
      </c>
      <c r="U200" s="18">
        <f t="shared" si="176"/>
        <v>1.0000069793221427</v>
      </c>
      <c r="V200" s="18">
        <f t="shared" si="177"/>
        <v>3.7361160448631248E-3</v>
      </c>
      <c r="W200" s="32" t="str">
        <f t="shared" si="164"/>
        <v>1-0.0327019780711984i</v>
      </c>
      <c r="X200" s="18">
        <f t="shared" si="178"/>
        <v>1.0005345668040506</v>
      </c>
      <c r="Y200" s="18">
        <f t="shared" si="179"/>
        <v>-3.2690328169204093E-2</v>
      </c>
      <c r="Z200" s="32" t="str">
        <f t="shared" si="165"/>
        <v>0.999989087104194+0.00787355526241827i</v>
      </c>
      <c r="AA200" s="18">
        <f t="shared" si="180"/>
        <v>1.0000200833983033</v>
      </c>
      <c r="AB200" s="18">
        <f t="shared" si="181"/>
        <v>7.8734784859335084E-3</v>
      </c>
      <c r="AC200" s="32" t="str">
        <f>IMDIV(IMSUM(COMPLEX(0,2*PI()*O200*Constants!$B$61*Constants!$B$62),COMPLEX(1,0)),IMSUM(COMPLEX(0,2*PI()*O200*Constants!$B$61*Constants!$B$62),COMPLEX(2,0)))</f>
        <v>0.500034463532998+0.00415097323094293i</v>
      </c>
      <c r="AD200" s="18">
        <f t="shared" si="182"/>
        <v>0.50005169262736937</v>
      </c>
      <c r="AE200" s="18">
        <f t="shared" si="183"/>
        <v>8.3011835900417639E-3</v>
      </c>
      <c r="AF200" s="66" t="str">
        <f t="shared" si="184"/>
        <v>1.45487126770415-5.26411649624809i</v>
      </c>
      <c r="AG200" s="64">
        <f t="shared" si="185"/>
        <v>14.746179156938501</v>
      </c>
      <c r="AH200" s="61">
        <f t="shared" si="186"/>
        <v>-74.550520982983315</v>
      </c>
      <c r="AI200" s="50" t="str">
        <f t="shared" si="166"/>
        <v>107.538871525172</v>
      </c>
      <c r="AJ200" s="50" t="str">
        <f t="shared" si="167"/>
        <v>1+3.09322735157088i</v>
      </c>
      <c r="AK200" s="50">
        <f t="shared" si="187"/>
        <v>3.2508545720327451</v>
      </c>
      <c r="AL200" s="50">
        <f t="shared" si="188"/>
        <v>1.2581146127834031</v>
      </c>
      <c r="AM200" s="50" t="str">
        <f t="shared" si="168"/>
        <v>1+0.00373613342856404i</v>
      </c>
      <c r="AN200" s="50">
        <f t="shared" si="189"/>
        <v>1.0000069793221427</v>
      </c>
      <c r="AO200" s="50">
        <f t="shared" si="190"/>
        <v>3.7361160448631248E-3</v>
      </c>
      <c r="AP200" s="50" t="str">
        <f t="shared" si="169"/>
        <v>1-0.0107420311773776i</v>
      </c>
      <c r="AQ200" s="50">
        <f t="shared" si="191"/>
        <v>1.0000576939526118</v>
      </c>
      <c r="AR200" s="50">
        <f t="shared" si="192"/>
        <v>-1.0741618027237818E-2</v>
      </c>
      <c r="AS200" s="59" t="str">
        <f t="shared" si="193"/>
        <v>9.95573224186808-31.5487496133906i</v>
      </c>
      <c r="AT200" s="50">
        <f t="shared" si="194"/>
        <v>30.391920394210167</v>
      </c>
      <c r="AU200" s="61">
        <f t="shared" si="195"/>
        <v>-72.48604315318542</v>
      </c>
      <c r="AV200" s="32" t="str">
        <f t="shared" si="170"/>
        <v>-0.0000333333333333333</v>
      </c>
      <c r="AW200" s="32" t="str">
        <f t="shared" si="171"/>
        <v>0.000199260449523415i</v>
      </c>
      <c r="AX200" s="32">
        <f t="shared" si="196"/>
        <v>1.9926044952341501E-4</v>
      </c>
      <c r="AY200" s="32">
        <f t="shared" si="197"/>
        <v>1.5707963267948966</v>
      </c>
      <c r="AZ200" s="32" t="str">
        <f t="shared" si="172"/>
        <v>1+0.0812954958993101i</v>
      </c>
      <c r="BA200" s="32">
        <f t="shared" si="198"/>
        <v>1.0032990370041799</v>
      </c>
      <c r="BB200" s="32">
        <f t="shared" si="199"/>
        <v>8.1117109904178766E-2</v>
      </c>
      <c r="BC200" s="32" t="str">
        <f t="shared" si="173"/>
        <v>1+3.90218380316689i</v>
      </c>
      <c r="BD200" s="32">
        <f t="shared" si="200"/>
        <v>4.0282798355747342</v>
      </c>
      <c r="BE200" s="32">
        <f t="shared" si="201"/>
        <v>1.3199282889102082</v>
      </c>
      <c r="BF200" s="59" t="str">
        <f t="shared" si="202"/>
        <v>-0.634981673748183+0.218906396138334i</v>
      </c>
      <c r="BG200" s="50">
        <f t="shared" si="203"/>
        <v>-3.4570624691449496</v>
      </c>
      <c r="BH200" s="61">
        <f t="shared" si="204"/>
        <v>160.97865217067107</v>
      </c>
      <c r="BI200" s="59" t="str">
        <f t="shared" si="205"/>
        <v>0.228532178391101+3.66109812965136i</v>
      </c>
      <c r="BJ200" s="64">
        <f t="shared" si="206"/>
        <v>11.289116687793557</v>
      </c>
      <c r="BK200" s="61">
        <f t="shared" si="207"/>
        <v>86.42813118768774</v>
      </c>
      <c r="BL200" s="59" t="str">
        <f t="shared" si="211"/>
        <v>0.584515558207849+22.2122513001587i</v>
      </c>
      <c r="BM200" s="64">
        <f t="shared" si="208"/>
        <v>26.934857925065231</v>
      </c>
      <c r="BN200" s="61">
        <f t="shared" si="212"/>
        <v>88.492609017485634</v>
      </c>
      <c r="BO200" s="50">
        <f t="shared" si="209"/>
        <v>11.289116687793557</v>
      </c>
      <c r="BP200" s="61">
        <f t="shared" si="210"/>
        <v>86.42813118768774</v>
      </c>
    </row>
    <row r="201" spans="14:68" x14ac:dyDescent="0.25">
      <c r="N201" s="11">
        <v>83</v>
      </c>
      <c r="O201" s="51">
        <f t="shared" si="213"/>
        <v>676.08297539198213</v>
      </c>
      <c r="P201" s="49" t="str">
        <f t="shared" si="161"/>
        <v>37.1583961085025</v>
      </c>
      <c r="Q201" s="18" t="str">
        <f t="shared" si="162"/>
        <v>1+3.32958895997897i</v>
      </c>
      <c r="R201" s="18">
        <f t="shared" si="174"/>
        <v>3.4765158769109399</v>
      </c>
      <c r="S201" s="18">
        <f t="shared" si="175"/>
        <v>1.2790300449390288</v>
      </c>
      <c r="T201" s="18" t="str">
        <f t="shared" si="163"/>
        <v>1+0.00382315915567545i</v>
      </c>
      <c r="U201" s="18">
        <f t="shared" si="176"/>
        <v>1.0000073082462595</v>
      </c>
      <c r="V201" s="18">
        <f t="shared" si="177"/>
        <v>3.8231405287116752E-3</v>
      </c>
      <c r="W201" s="32" t="str">
        <f t="shared" si="164"/>
        <v>1-0.0334637049939762i</v>
      </c>
      <c r="X201" s="18">
        <f t="shared" si="178"/>
        <v>1.0005597531141877</v>
      </c>
      <c r="Y201" s="18">
        <f t="shared" si="179"/>
        <v>-3.3451222276227592E-2</v>
      </c>
      <c r="Z201" s="32" t="str">
        <f t="shared" si="165"/>
        <v>0.99998857279526+0.00805695392436787i</v>
      </c>
      <c r="AA201" s="18">
        <f t="shared" si="180"/>
        <v>1.0000210298926919</v>
      </c>
      <c r="AB201" s="18">
        <f t="shared" si="181"/>
        <v>8.0568716569662264E-3</v>
      </c>
      <c r="AC201" s="32" t="str">
        <f>IMDIV(IMSUM(COMPLEX(0,2*PI()*O201*Constants!$B$61*Constants!$B$62),COMPLEX(1,0)),IMSUM(COMPLEX(0,2*PI()*O201*Constants!$B$61*Constants!$B$62),COMPLEX(2,0)))</f>
        <v>0.500036087632041+0.00424764802017083i</v>
      </c>
      <c r="AD201" s="18">
        <f t="shared" si="182"/>
        <v>0.50005412851816489</v>
      </c>
      <c r="AE201" s="18">
        <f t="shared" si="183"/>
        <v>8.4944786187879148E-3</v>
      </c>
      <c r="AF201" s="66" t="str">
        <f t="shared" si="184"/>
        <v>1.38809611346986-5.16440291279895i</v>
      </c>
      <c r="AG201" s="64">
        <f t="shared" si="185"/>
        <v>14.563336612816119</v>
      </c>
      <c r="AH201" s="61">
        <f t="shared" si="186"/>
        <v>-74.955514452637686</v>
      </c>
      <c r="AI201" s="50" t="str">
        <f t="shared" si="166"/>
        <v>107.538871525172</v>
      </c>
      <c r="AJ201" s="50" t="str">
        <f t="shared" si="167"/>
        <v>1+3.16527787239364i</v>
      </c>
      <c r="AK201" s="50">
        <f t="shared" si="187"/>
        <v>3.3194855037286746</v>
      </c>
      <c r="AL201" s="50">
        <f t="shared" si="188"/>
        <v>1.2647914691431228</v>
      </c>
      <c r="AM201" s="50" t="str">
        <f t="shared" si="168"/>
        <v>1+0.00382315915567545i</v>
      </c>
      <c r="AN201" s="50">
        <f t="shared" si="189"/>
        <v>1.0000073082462595</v>
      </c>
      <c r="AO201" s="50">
        <f t="shared" si="190"/>
        <v>3.8231405287116752E-3</v>
      </c>
      <c r="AP201" s="50" t="str">
        <f t="shared" si="169"/>
        <v>1-0.0109922452266718i</v>
      </c>
      <c r="AQ201" s="50">
        <f t="shared" si="191"/>
        <v>1.0000604129027022</v>
      </c>
      <c r="AR201" s="50">
        <f t="shared" si="192"/>
        <v>-1.0991802529765412E-2</v>
      </c>
      <c r="AS201" s="59" t="str">
        <f t="shared" si="193"/>
        <v>9.53836602509885-30.9625343439785i</v>
      </c>
      <c r="AT201" s="50">
        <f t="shared" si="194"/>
        <v>30.210482170737954</v>
      </c>
      <c r="AU201" s="61">
        <f t="shared" si="195"/>
        <v>-72.877947223468041</v>
      </c>
      <c r="AV201" s="32" t="str">
        <f t="shared" si="170"/>
        <v>-0.0000333333333333333</v>
      </c>
      <c r="AW201" s="32" t="str">
        <f t="shared" si="171"/>
        <v>0.000203901821636024i</v>
      </c>
      <c r="AX201" s="32">
        <f t="shared" si="196"/>
        <v>2.0390182163602401E-4</v>
      </c>
      <c r="AY201" s="32">
        <f t="shared" si="197"/>
        <v>1.5707963267948966</v>
      </c>
      <c r="AZ201" s="32" t="str">
        <f t="shared" si="172"/>
        <v>1+0.0831891112577528i</v>
      </c>
      <c r="BA201" s="32">
        <f t="shared" si="198"/>
        <v>1.0034542482006117</v>
      </c>
      <c r="BB201" s="32">
        <f t="shared" si="199"/>
        <v>8.2998002739315416E-2</v>
      </c>
      <c r="BC201" s="32" t="str">
        <f t="shared" si="173"/>
        <v>1+3.99307734037214i</v>
      </c>
      <c r="BD201" s="32">
        <f t="shared" si="200"/>
        <v>4.1163900017118698</v>
      </c>
      <c r="BE201" s="32">
        <f t="shared" si="201"/>
        <v>1.3254097840391312</v>
      </c>
      <c r="BF201" s="59" t="str">
        <f t="shared" si="202"/>
        <v>-0.634785254941279+0.21628459018813i</v>
      </c>
      <c r="BG201" s="50">
        <f t="shared" si="203"/>
        <v>-3.4704684339937546</v>
      </c>
      <c r="BH201" s="61">
        <f t="shared" si="204"/>
        <v>161.18495148581005</v>
      </c>
      <c r="BI201" s="59" t="str">
        <f t="shared" si="205"/>
        <v>0.235837822289142+3.57851061866413i</v>
      </c>
      <c r="BJ201" s="64">
        <f t="shared" si="206"/>
        <v>11.092868178822361</v>
      </c>
      <c r="BK201" s="61">
        <f t="shared" si="207"/>
        <v>86.22943703317236</v>
      </c>
      <c r="BL201" s="59" t="str">
        <f t="shared" si="211"/>
        <v>0.641904942807684+21.7175618439734i</v>
      </c>
      <c r="BM201" s="64">
        <f t="shared" si="208"/>
        <v>26.740013736744203</v>
      </c>
      <c r="BN201" s="61">
        <f t="shared" si="212"/>
        <v>88.307004262342005</v>
      </c>
      <c r="BO201" s="50">
        <f t="shared" si="209"/>
        <v>11.092868178822361</v>
      </c>
      <c r="BP201" s="61">
        <f t="shared" si="210"/>
        <v>86.22943703317236</v>
      </c>
    </row>
    <row r="202" spans="14:68" x14ac:dyDescent="0.25">
      <c r="N202" s="11">
        <v>84</v>
      </c>
      <c r="O202" s="51">
        <f t="shared" si="213"/>
        <v>691.83097091893671</v>
      </c>
      <c r="P202" s="49" t="str">
        <f t="shared" si="161"/>
        <v>37.1583961085025</v>
      </c>
      <c r="Q202" s="18" t="str">
        <f t="shared" si="162"/>
        <v>1+3.40714504992184i</v>
      </c>
      <c r="R202" s="18">
        <f t="shared" si="174"/>
        <v>3.5508643160795224</v>
      </c>
      <c r="S202" s="18">
        <f t="shared" si="175"/>
        <v>1.2853126602444225</v>
      </c>
      <c r="T202" s="18" t="str">
        <f t="shared" si="163"/>
        <v>1+0.00391221197237669i</v>
      </c>
      <c r="U202" s="18">
        <f t="shared" si="176"/>
        <v>1.0000076526719766</v>
      </c>
      <c r="V202" s="18">
        <f t="shared" si="177"/>
        <v>3.9121920132336565E-3</v>
      </c>
      <c r="W202" s="32" t="str">
        <f t="shared" si="164"/>
        <v>1-0.0342431748160863i</v>
      </c>
      <c r="X202" s="18">
        <f t="shared" si="178"/>
        <v>1.0005861257390516</v>
      </c>
      <c r="Y202" s="18">
        <f t="shared" si="179"/>
        <v>-3.4229799766166434E-2</v>
      </c>
      <c r="Z202" s="32" t="str">
        <f t="shared" si="165"/>
        <v>0.999988034247692+0.00824462448993456i</v>
      </c>
      <c r="AA202" s="18">
        <f t="shared" si="180"/>
        <v>1.0000220209933095</v>
      </c>
      <c r="AB202" s="18">
        <f t="shared" si="181"/>
        <v>8.2445363389197206E-3</v>
      </c>
      <c r="AC202" s="32" t="str">
        <f>IMDIV(IMSUM(COMPLEX(0,2*PI()*O202*Constants!$B$61*Constants!$B$62),COMPLEX(1,0)),IMSUM(COMPLEX(0,2*PI()*O202*Constants!$B$61*Constants!$B$62),COMPLEX(2,0)))</f>
        <v>0.500037788261204+0.00434657366777876i</v>
      </c>
      <c r="AD202" s="18">
        <f t="shared" si="182"/>
        <v>0.50005667917927688</v>
      </c>
      <c r="AE202" s="18">
        <f t="shared" si="183"/>
        <v>8.6922714642000028E-3</v>
      </c>
      <c r="AF202" s="66" t="str">
        <f t="shared" si="184"/>
        <v>1.32383830358214-5.06576506847968i</v>
      </c>
      <c r="AG202" s="64">
        <f t="shared" si="185"/>
        <v>14.379807029991508</v>
      </c>
      <c r="AH202" s="61">
        <f t="shared" si="186"/>
        <v>-75.354408422895546</v>
      </c>
      <c r="AI202" s="50" t="str">
        <f t="shared" si="166"/>
        <v>107.538871525172</v>
      </c>
      <c r="AJ202" s="50" t="str">
        <f t="shared" si="167"/>
        <v>1+3.23900666544175i</v>
      </c>
      <c r="AK202" s="50">
        <f t="shared" si="187"/>
        <v>3.3898619704607569</v>
      </c>
      <c r="AL202" s="50">
        <f t="shared" si="188"/>
        <v>1.2713436735989874</v>
      </c>
      <c r="AM202" s="50" t="str">
        <f t="shared" si="168"/>
        <v>1+0.00391221197237669i</v>
      </c>
      <c r="AN202" s="50">
        <f t="shared" si="189"/>
        <v>1.0000076526719766</v>
      </c>
      <c r="AO202" s="50">
        <f t="shared" si="190"/>
        <v>3.9121920132336565E-3</v>
      </c>
      <c r="AP202" s="50" t="str">
        <f t="shared" si="169"/>
        <v>1-0.0112482875098849i</v>
      </c>
      <c r="AQ202" s="50">
        <f t="shared" si="191"/>
        <v>1.0000632599850396</v>
      </c>
      <c r="AR202" s="50">
        <f t="shared" si="192"/>
        <v>-1.1247813153223913E-2</v>
      </c>
      <c r="AS202" s="59" t="str">
        <f t="shared" si="193"/>
        <v>9.13643794708891-30.381896693743i</v>
      </c>
      <c r="AT202" s="50">
        <f t="shared" si="194"/>
        <v>30.028285122242536</v>
      </c>
      <c r="AU202" s="61">
        <f t="shared" si="195"/>
        <v>-73.262926939308073</v>
      </c>
      <c r="AV202" s="32" t="str">
        <f t="shared" si="170"/>
        <v>-0.0000333333333333333</v>
      </c>
      <c r="AW202" s="32" t="str">
        <f t="shared" si="171"/>
        <v>0.000208651305193423i</v>
      </c>
      <c r="AX202" s="32">
        <f t="shared" si="196"/>
        <v>2.0865130519342299E-4</v>
      </c>
      <c r="AY202" s="32">
        <f t="shared" si="197"/>
        <v>1.5707963267948966</v>
      </c>
      <c r="AZ202" s="32" t="str">
        <f t="shared" si="172"/>
        <v>1+0.0851268345841224i</v>
      </c>
      <c r="BA202" s="32">
        <f t="shared" si="198"/>
        <v>1.003616748548126</v>
      </c>
      <c r="BB202" s="32">
        <f t="shared" si="199"/>
        <v>8.4922097952306833E-2</v>
      </c>
      <c r="BC202" s="32" t="str">
        <f t="shared" si="173"/>
        <v>1+4.08608806003788i</v>
      </c>
      <c r="BD202" s="32">
        <f t="shared" si="200"/>
        <v>4.2066751282199251</v>
      </c>
      <c r="BE202" s="32">
        <f t="shared" si="201"/>
        <v>1.3307810864526979</v>
      </c>
      <c r="BF202" s="59" t="str">
        <f t="shared" si="202"/>
        <v>-0.634579709400729+0.21377593171359i</v>
      </c>
      <c r="BG202" s="50">
        <f t="shared" si="203"/>
        <v>-3.4834257398198654</v>
      </c>
      <c r="BH202" s="61">
        <f t="shared" si="204"/>
        <v>161.38246190951011</v>
      </c>
      <c r="BI202" s="59" t="str">
        <f t="shared" si="205"/>
        <v>0.242857721375693+3.49763649183461i</v>
      </c>
      <c r="BJ202" s="64">
        <f t="shared" si="206"/>
        <v>10.896381290171641</v>
      </c>
      <c r="BK202" s="61">
        <f t="shared" si="207"/>
        <v>86.028053486614596</v>
      </c>
      <c r="BL202" s="59" t="str">
        <f t="shared" si="211"/>
        <v>0.697120135509476+21.2328857096407i</v>
      </c>
      <c r="BM202" s="64">
        <f t="shared" si="208"/>
        <v>26.544859382422658</v>
      </c>
      <c r="BN202" s="61">
        <f t="shared" si="212"/>
        <v>88.119534970202039</v>
      </c>
      <c r="BO202" s="50">
        <f t="shared" si="209"/>
        <v>10.896381290171641</v>
      </c>
      <c r="BP202" s="61">
        <f t="shared" si="210"/>
        <v>86.028053486614596</v>
      </c>
    </row>
    <row r="203" spans="14:68" x14ac:dyDescent="0.25">
      <c r="N203" s="11">
        <v>85</v>
      </c>
      <c r="O203" s="51">
        <f t="shared" si="213"/>
        <v>707.94578438413873</v>
      </c>
      <c r="P203" s="49" t="str">
        <f t="shared" si="161"/>
        <v>37.1583961085025</v>
      </c>
      <c r="Q203" s="18" t="str">
        <f t="shared" si="162"/>
        <v>1+3.48650765326909i</v>
      </c>
      <c r="R203" s="18">
        <f t="shared" si="174"/>
        <v>3.6270836241123439</v>
      </c>
      <c r="S203" s="18">
        <f t="shared" si="175"/>
        <v>1.2914747356423089</v>
      </c>
      <c r="T203" s="18" t="str">
        <f t="shared" si="163"/>
        <v>1+0.00400333909564994i</v>
      </c>
      <c r="U203" s="18">
        <f t="shared" si="176"/>
        <v>1.0000080133298506</v>
      </c>
      <c r="V203" s="18">
        <f t="shared" si="177"/>
        <v>4.0033177090521193E-3</v>
      </c>
      <c r="W203" s="32" t="str">
        <f t="shared" si="164"/>
        <v>1-0.035040800822746i</v>
      </c>
      <c r="X203" s="18">
        <f t="shared" si="178"/>
        <v>1.0006137405224351</v>
      </c>
      <c r="Y203" s="18">
        <f t="shared" si="179"/>
        <v>-3.5026469673270978E-2</v>
      </c>
      <c r="Z203" s="32" t="str">
        <f t="shared" si="165"/>
        <v>0.999987470319159+0.00843666646453634i</v>
      </c>
      <c r="AA203" s="18">
        <f t="shared" si="180"/>
        <v>1.0000230588023182</v>
      </c>
      <c r="AB203" s="18">
        <f t="shared" si="181"/>
        <v>8.4365720091278754E-3</v>
      </c>
      <c r="AC203" s="32" t="str">
        <f>IMDIV(IMSUM(COMPLEX(0,2*PI()*O203*Constants!$B$61*Constants!$B$62),COMPLEX(1,0)),IMSUM(COMPLEX(0,2*PI()*O203*Constants!$B$61*Constants!$B$62),COMPLEX(2,0)))</f>
        <v>0.500039569026151+0.00444780253243467i</v>
      </c>
      <c r="AD203" s="18">
        <f t="shared" si="182"/>
        <v>0.50005935001680191</v>
      </c>
      <c r="AE203" s="18">
        <f t="shared" si="183"/>
        <v>8.8946665648359739E-3</v>
      </c>
      <c r="AF203" s="66" t="str">
        <f t="shared" si="184"/>
        <v>1.26202245694577-4.96824415590085i</v>
      </c>
      <c r="AG203" s="64">
        <f t="shared" si="185"/>
        <v>14.195617435636194</v>
      </c>
      <c r="AH203" s="61">
        <f t="shared" si="186"/>
        <v>-75.747300490160725</v>
      </c>
      <c r="AI203" s="50" t="str">
        <f t="shared" si="166"/>
        <v>107.538871525172</v>
      </c>
      <c r="AJ203" s="50" t="str">
        <f t="shared" si="167"/>
        <v>1+3.3144528226972i</v>
      </c>
      <c r="AK203" s="50">
        <f t="shared" si="187"/>
        <v>3.4620221712007329</v>
      </c>
      <c r="AL203" s="50">
        <f t="shared" si="188"/>
        <v>1.2777724490454789</v>
      </c>
      <c r="AM203" s="50" t="str">
        <f t="shared" si="168"/>
        <v>1+0.00400333909564994i</v>
      </c>
      <c r="AN203" s="50">
        <f t="shared" si="189"/>
        <v>1.0000080133298506</v>
      </c>
      <c r="AO203" s="50">
        <f t="shared" si="190"/>
        <v>4.0033177090521193E-3</v>
      </c>
      <c r="AP203" s="50" t="str">
        <f t="shared" si="169"/>
        <v>1-0.0115102937840243i</v>
      </c>
      <c r="AQ203" s="50">
        <f t="shared" si="191"/>
        <v>1.0000662412375465</v>
      </c>
      <c r="AR203" s="50">
        <f t="shared" si="192"/>
        <v>-1.1509785503522784E-2</v>
      </c>
      <c r="AS203" s="59" t="str">
        <f t="shared" si="193"/>
        <v>8.74950990167123-29.8071272265897i</v>
      </c>
      <c r="AT203" s="50">
        <f t="shared" si="194"/>
        <v>29.845357547860591</v>
      </c>
      <c r="AU203" s="61">
        <f t="shared" si="195"/>
        <v>-73.64105743207503</v>
      </c>
      <c r="AV203" s="32" t="str">
        <f t="shared" si="170"/>
        <v>-0.0000333333333333333</v>
      </c>
      <c r="AW203" s="32" t="str">
        <f t="shared" si="171"/>
        <v>0.000213511418434663i</v>
      </c>
      <c r="AX203" s="32">
        <f t="shared" si="196"/>
        <v>2.13511418434663E-4</v>
      </c>
      <c r="AY203" s="32">
        <f t="shared" si="197"/>
        <v>1.5707963267948966</v>
      </c>
      <c r="AZ203" s="32" t="str">
        <f t="shared" si="172"/>
        <v>1+0.0871096932849755i</v>
      </c>
      <c r="BA203" s="32">
        <f t="shared" si="198"/>
        <v>1.0037868791054216</v>
      </c>
      <c r="BB203" s="32">
        <f t="shared" si="199"/>
        <v>8.6890358706025031E-2</v>
      </c>
      <c r="BC203" s="32" t="str">
        <f t="shared" si="173"/>
        <v>1+4.18126527767883i</v>
      </c>
      <c r="BD203" s="32">
        <f t="shared" si="200"/>
        <v>4.299183564622779</v>
      </c>
      <c r="BE203" s="32">
        <f t="shared" si="201"/>
        <v>1.3360438038184681</v>
      </c>
      <c r="BF203" s="59" t="str">
        <f t="shared" si="202"/>
        <v>-0.634364619419506+0.211378982796251i</v>
      </c>
      <c r="BG203" s="50">
        <f t="shared" si="203"/>
        <v>-3.4959577235370798</v>
      </c>
      <c r="BH203" s="61">
        <f t="shared" si="204"/>
        <v>161.57122036916968</v>
      </c>
      <c r="BI203" s="59" t="str">
        <f t="shared" si="205"/>
        <v>0.249600000358467+3.41844333635645i</v>
      </c>
      <c r="BJ203" s="64">
        <f t="shared" si="206"/>
        <v>10.699659712099116</v>
      </c>
      <c r="BK203" s="61">
        <f t="shared" si="207"/>
        <v>85.823919879008969</v>
      </c>
      <c r="BL203" s="59" t="str">
        <f t="shared" si="211"/>
        <v>0.750220714354101+20.7580494220654i</v>
      </c>
      <c r="BM203" s="64">
        <f t="shared" si="208"/>
        <v>26.34939982432353</v>
      </c>
      <c r="BN203" s="61">
        <f t="shared" si="212"/>
        <v>87.93016293709465</v>
      </c>
      <c r="BO203" s="50">
        <f t="shared" si="209"/>
        <v>10.699659712099116</v>
      </c>
      <c r="BP203" s="61">
        <f t="shared" si="210"/>
        <v>85.823919879008969</v>
      </c>
    </row>
    <row r="204" spans="14:68" x14ac:dyDescent="0.25">
      <c r="N204" s="11">
        <v>86</v>
      </c>
      <c r="O204" s="51">
        <f t="shared" si="213"/>
        <v>724.43596007499025</v>
      </c>
      <c r="P204" s="49" t="str">
        <f t="shared" si="161"/>
        <v>37.1583961085025</v>
      </c>
      <c r="Q204" s="18" t="str">
        <f t="shared" si="162"/>
        <v>1+3.56771884912347i</v>
      </c>
      <c r="R204" s="18">
        <f t="shared" si="174"/>
        <v>3.7052149446949629</v>
      </c>
      <c r="S204" s="18">
        <f t="shared" si="175"/>
        <v>1.2975176657770258</v>
      </c>
      <c r="T204" s="18" t="str">
        <f t="shared" si="163"/>
        <v>1+0.00409658884230215i</v>
      </c>
      <c r="U204" s="18">
        <f t="shared" si="176"/>
        <v>1.0000083909848672</v>
      </c>
      <c r="V204" s="18">
        <f t="shared" si="177"/>
        <v>4.0965659261600973E-3</v>
      </c>
      <c r="W204" s="32" t="str">
        <f t="shared" si="164"/>
        <v>1-0.0358570059258216i</v>
      </c>
      <c r="X204" s="18">
        <f t="shared" si="178"/>
        <v>1.0006426559336576</v>
      </c>
      <c r="Y204" s="18">
        <f t="shared" si="179"/>
        <v>-3.5841650355097419E-2</v>
      </c>
      <c r="Z204" s="32" t="str">
        <f t="shared" si="165"/>
        <v>0.999986879813494+0.00863318167137007i</v>
      </c>
      <c r="AA204" s="18">
        <f t="shared" si="180"/>
        <v>1.000024145520946</v>
      </c>
      <c r="AB204" s="18">
        <f t="shared" si="181"/>
        <v>8.6330804606950182E-3</v>
      </c>
      <c r="AC204" s="32" t="str">
        <f>IMDIV(IMSUM(COMPLEX(0,2*PI()*O204*Constants!$B$61*Constants!$B$62),COMPLEX(1,0)),IMSUM(COMPLEX(0,2*PI()*O204*Constants!$B$61*Constants!$B$62),COMPLEX(2,0)))</f>
        <v>0.500041433702367+0.0045513881873517i</v>
      </c>
      <c r="AD204" s="18">
        <f t="shared" si="182"/>
        <v>0.50006214669133942</v>
      </c>
      <c r="AE204" s="18">
        <f t="shared" si="183"/>
        <v>9.1017707684249941E-3</v>
      </c>
      <c r="AF204" s="66" t="str">
        <f t="shared" si="184"/>
        <v>1.20257383058567-4.87187739040437i</v>
      </c>
      <c r="AG204" s="64">
        <f t="shared" si="185"/>
        <v>14.010794082346369</v>
      </c>
      <c r="AH204" s="61">
        <f t="shared" si="186"/>
        <v>-76.134291474222636</v>
      </c>
      <c r="AI204" s="50" t="str">
        <f t="shared" si="166"/>
        <v>107.538871525172</v>
      </c>
      <c r="AJ204" s="50" t="str">
        <f t="shared" si="167"/>
        <v>1+3.3916563467112i</v>
      </c>
      <c r="AK204" s="50">
        <f t="shared" si="187"/>
        <v>3.5360051999659672</v>
      </c>
      <c r="AL204" s="50">
        <f t="shared" si="188"/>
        <v>1.2840790777560489</v>
      </c>
      <c r="AM204" s="50" t="str">
        <f t="shared" si="168"/>
        <v>1+0.00409658884230215i</v>
      </c>
      <c r="AN204" s="50">
        <f t="shared" si="189"/>
        <v>1.0000083909848672</v>
      </c>
      <c r="AO204" s="50">
        <f t="shared" si="190"/>
        <v>4.0965659261600973E-3</v>
      </c>
      <c r="AP204" s="50" t="str">
        <f t="shared" si="169"/>
        <v>1-0.0117784029682848i</v>
      </c>
      <c r="AQ204" s="50">
        <f t="shared" si="191"/>
        <v>1.0000693629826301</v>
      </c>
      <c r="AR204" s="50">
        <f t="shared" si="192"/>
        <v>-1.17778583379551E-2</v>
      </c>
      <c r="AS204" s="59" t="str">
        <f t="shared" si="193"/>
        <v>8.3771452481604-29.2384914706191i</v>
      </c>
      <c r="AT204" s="50">
        <f t="shared" si="194"/>
        <v>29.661726937736951</v>
      </c>
      <c r="AU204" s="61">
        <f t="shared" si="195"/>
        <v>-74.012417352874394</v>
      </c>
      <c r="AV204" s="32" t="str">
        <f t="shared" si="170"/>
        <v>-0.0000333333333333333</v>
      </c>
      <c r="AW204" s="32" t="str">
        <f t="shared" si="171"/>
        <v>0.000218484738256114i</v>
      </c>
      <c r="AX204" s="32">
        <f t="shared" si="196"/>
        <v>2.18484738256114E-4</v>
      </c>
      <c r="AY204" s="32">
        <f t="shared" si="197"/>
        <v>1.5707963267948966</v>
      </c>
      <c r="AZ204" s="32" t="str">
        <f t="shared" si="172"/>
        <v>1+0.0891387386982413i</v>
      </c>
      <c r="BA204" s="32">
        <f t="shared" si="198"/>
        <v>1.0039649967686688</v>
      </c>
      <c r="BB204" s="32">
        <f t="shared" si="199"/>
        <v>8.8903767563380975E-2</v>
      </c>
      <c r="BC204" s="32" t="str">
        <f t="shared" si="173"/>
        <v>1+4.27865945751559i</v>
      </c>
      <c r="BD204" s="32">
        <f t="shared" si="200"/>
        <v>4.3939648102127089</v>
      </c>
      <c r="BE204" s="32">
        <f t="shared" si="201"/>
        <v>1.3411995599326174</v>
      </c>
      <c r="BF204" s="59" t="str">
        <f t="shared" si="202"/>
        <v>-0.634139548782846+0.209092357230105i</v>
      </c>
      <c r="BG204" s="50">
        <f t="shared" si="203"/>
        <v>-3.5080871474580344</v>
      </c>
      <c r="BH204" s="61">
        <f t="shared" si="204"/>
        <v>161.75126360474849</v>
      </c>
      <c r="BI204" s="59" t="str">
        <f t="shared" si="205"/>
        <v>0.256072701390047+3.34089912705677i</v>
      </c>
      <c r="BJ204" s="64">
        <f t="shared" si="206"/>
        <v>10.502706934888334</v>
      </c>
      <c r="BK204" s="61">
        <f t="shared" si="207"/>
        <v>85.616972130525852</v>
      </c>
      <c r="BL204" s="59" t="str">
        <f t="shared" si="211"/>
        <v>0.801265995687269+20.2928808350663i</v>
      </c>
      <c r="BM204" s="64">
        <f t="shared" si="208"/>
        <v>26.153639790278909</v>
      </c>
      <c r="BN204" s="61">
        <f t="shared" si="212"/>
        <v>87.738846251874094</v>
      </c>
      <c r="BO204" s="50">
        <f t="shared" si="209"/>
        <v>10.502706934888334</v>
      </c>
      <c r="BP204" s="61">
        <f t="shared" si="210"/>
        <v>85.616972130525852</v>
      </c>
    </row>
    <row r="205" spans="14:68" x14ac:dyDescent="0.25">
      <c r="N205" s="11">
        <v>87</v>
      </c>
      <c r="O205" s="51">
        <f t="shared" si="213"/>
        <v>741.31024130091828</v>
      </c>
      <c r="P205" s="49" t="str">
        <f t="shared" si="161"/>
        <v>37.1583961085025</v>
      </c>
      <c r="Q205" s="18" t="str">
        <f t="shared" si="162"/>
        <v>1+3.650821696736i</v>
      </c>
      <c r="R205" s="18">
        <f t="shared" si="174"/>
        <v>3.7853003924864832</v>
      </c>
      <c r="S205" s="18">
        <f t="shared" si="175"/>
        <v>1.3034428886408218</v>
      </c>
      <c r="T205" s="18" t="str">
        <f t="shared" si="163"/>
        <v>1+0.00419201065458332i</v>
      </c>
      <c r="U205" s="18">
        <f t="shared" si="176"/>
        <v>1.0000087864380633</v>
      </c>
      <c r="V205" s="18">
        <f t="shared" si="177"/>
        <v>4.1919860995063615E-3</v>
      </c>
      <c r="W205" s="32" t="str">
        <f t="shared" si="164"/>
        <v>1-0.0366922228880627i</v>
      </c>
      <c r="X205" s="18">
        <f t="shared" si="178"/>
        <v>1.0006729331906941</v>
      </c>
      <c r="Y205" s="18">
        <f t="shared" si="179"/>
        <v>-3.6675769695130436E-2</v>
      </c>
      <c r="Z205" s="32" t="str">
        <f t="shared" si="165"/>
        <v>0.999986261478154+0.00883427430539964i</v>
      </c>
      <c r="AA205" s="18">
        <f t="shared" si="180"/>
        <v>1.0000252834541523</v>
      </c>
      <c r="AB205" s="18">
        <f t="shared" si="181"/>
        <v>8.8341658563405E-3</v>
      </c>
      <c r="AC205" s="32" t="str">
        <f>IMDIV(IMSUM(COMPLEX(0,2*PI()*O205*Constants!$B$61*Constants!$B$62),COMPLEX(1,0)),IMSUM(COMPLEX(0,2*PI()*O205*Constants!$B$61*Constants!$B$62),COMPLEX(2,0)))</f>
        <v>0.500043386243159+0.00465738544821793i</v>
      </c>
      <c r="AD205" s="18">
        <f t="shared" si="182"/>
        <v>0.5000650751299659</v>
      </c>
      <c r="AE205" s="18">
        <f t="shared" si="183"/>
        <v>9.3136933863045106E-3</v>
      </c>
      <c r="AF205" s="66" t="str">
        <f t="shared" si="184"/>
        <v>1.14541846798085-4.7766981837258i</v>
      </c>
      <c r="AG205" s="64">
        <f t="shared" si="185"/>
        <v>13.825362456999283</v>
      </c>
      <c r="AH205" s="61">
        <f t="shared" si="186"/>
        <v>-76.515485154477958</v>
      </c>
      <c r="AI205" s="50" t="str">
        <f t="shared" si="166"/>
        <v>107.538871525172</v>
      </c>
      <c r="AJ205" s="50" t="str">
        <f t="shared" si="167"/>
        <v>1+3.47065817181412i</v>
      </c>
      <c r="AK205" s="50">
        <f t="shared" si="187"/>
        <v>3.6118510691306382</v>
      </c>
      <c r="AL205" s="50">
        <f t="shared" si="188"/>
        <v>1.2902648961383307</v>
      </c>
      <c r="AM205" s="50" t="str">
        <f t="shared" si="168"/>
        <v>1+0.00419201065458332i</v>
      </c>
      <c r="AN205" s="50">
        <f t="shared" si="189"/>
        <v>1.0000087864380633</v>
      </c>
      <c r="AO205" s="50">
        <f t="shared" si="190"/>
        <v>4.1919860995063615E-3</v>
      </c>
      <c r="AP205" s="50" t="str">
        <f t="shared" si="169"/>
        <v>1-0.0120527572177047i</v>
      </c>
      <c r="AQ205" s="50">
        <f t="shared" si="191"/>
        <v>1.0000726318405824</v>
      </c>
      <c r="AR205" s="50">
        <f t="shared" si="192"/>
        <v>-1.2052173638081273E-2</v>
      </c>
      <c r="AS205" s="59" t="str">
        <f t="shared" si="193"/>
        <v>8.01890987251079-28.6762308928139i</v>
      </c>
      <c r="AT205" s="50">
        <f t="shared" si="194"/>
        <v>29.477419976873684</v>
      </c>
      <c r="AU205" s="61">
        <f t="shared" si="195"/>
        <v>-74.3770885747535</v>
      </c>
      <c r="AV205" s="32" t="str">
        <f t="shared" si="170"/>
        <v>-0.0000333333333333333</v>
      </c>
      <c r="AW205" s="32" t="str">
        <f t="shared" si="171"/>
        <v>0.000223573901577777i</v>
      </c>
      <c r="AX205" s="32">
        <f t="shared" si="196"/>
        <v>2.23573901577777E-4</v>
      </c>
      <c r="AY205" s="32">
        <f t="shared" si="197"/>
        <v>1.5707963267948966</v>
      </c>
      <c r="AZ205" s="32" t="str">
        <f t="shared" si="172"/>
        <v>1+0.0912150466506555i</v>
      </c>
      <c r="BA205" s="32">
        <f t="shared" si="198"/>
        <v>1.0041514749954219</v>
      </c>
      <c r="BB205" s="32">
        <f t="shared" si="199"/>
        <v>9.0963326728313643E-2</v>
      </c>
      <c r="BC205" s="32" t="str">
        <f t="shared" si="173"/>
        <v>1+4.37832223923147i</v>
      </c>
      <c r="BD205" s="32">
        <f t="shared" si="200"/>
        <v>4.4910695419408588</v>
      </c>
      <c r="BE205" s="32">
        <f t="shared" si="201"/>
        <v>1.346249991566143</v>
      </c>
      <c r="BF205" s="59" t="str">
        <f t="shared" si="202"/>
        <v>-0.633904042006676+0.206914719271979i</v>
      </c>
      <c r="BG205" s="50">
        <f t="shared" si="203"/>
        <v>-3.5198362207778238</v>
      </c>
      <c r="BH205" s="61">
        <f t="shared" si="204"/>
        <v>161.92262797426071</v>
      </c>
      <c r="BI205" s="59" t="str">
        <f t="shared" si="205"/>
        <v>0.262283767090441+3.26497222686093i</v>
      </c>
      <c r="BJ205" s="64">
        <f t="shared" si="206"/>
        <v>10.305526236221459</v>
      </c>
      <c r="BK205" s="61">
        <f t="shared" si="207"/>
        <v>85.407142819782749</v>
      </c>
      <c r="BL205" s="59" t="str">
        <f t="shared" si="211"/>
        <v>0.850314884293211+19.8372091576093i</v>
      </c>
      <c r="BM205" s="64">
        <f t="shared" si="208"/>
        <v>25.957583756095858</v>
      </c>
      <c r="BN205" s="61">
        <f t="shared" si="212"/>
        <v>87.545539399507206</v>
      </c>
      <c r="BO205" s="50">
        <f t="shared" si="209"/>
        <v>10.305526236221459</v>
      </c>
      <c r="BP205" s="61">
        <f t="shared" si="210"/>
        <v>85.407142819782749</v>
      </c>
    </row>
    <row r="206" spans="14:68" x14ac:dyDescent="0.25">
      <c r="N206" s="11">
        <v>88</v>
      </c>
      <c r="O206" s="51">
        <f t="shared" si="213"/>
        <v>758.57757502918378</v>
      </c>
      <c r="P206" s="49" t="str">
        <f t="shared" si="161"/>
        <v>37.1583961085025</v>
      </c>
      <c r="Q206" s="18" t="str">
        <f t="shared" si="162"/>
        <v>1+3.73586025833648i</v>
      </c>
      <c r="R206" s="18">
        <f t="shared" si="174"/>
        <v>3.867383077717788</v>
      </c>
      <c r="S206" s="18">
        <f t="shared" si="175"/>
        <v>1.3092518810071547</v>
      </c>
      <c r="T206" s="18" t="str">
        <f t="shared" si="163"/>
        <v>1+0.00428965512640136i</v>
      </c>
      <c r="U206" s="18">
        <f t="shared" si="176"/>
        <v>1.0000092005282268</v>
      </c>
      <c r="V206" s="18">
        <f t="shared" si="177"/>
        <v>4.2896288151754308E-3</v>
      </c>
      <c r="W206" s="32" t="str">
        <f t="shared" si="164"/>
        <v>1-0.0375468945525581i</v>
      </c>
      <c r="X206" s="18">
        <f t="shared" si="178"/>
        <v>1.0007046363890499</v>
      </c>
      <c r="Y206" s="18">
        <f t="shared" si="179"/>
        <v>-3.7529265309091786E-2</v>
      </c>
      <c r="Z206" s="32" t="str">
        <f t="shared" si="165"/>
        <v>0.999985614001567+0.00904005098860138i</v>
      </c>
      <c r="AA206" s="18">
        <f t="shared" si="180"/>
        <v>1.0000264750155206</v>
      </c>
      <c r="AB206" s="18">
        <f t="shared" si="181"/>
        <v>9.0399347834901923E-3</v>
      </c>
      <c r="AC206" s="32" t="str">
        <f>IMDIV(IMSUM(COMPLEX(0,2*PI()*O206*Constants!$B$61*Constants!$B$62),COMPLEX(1,0)),IMSUM(COMPLEX(0,2*PI()*O206*Constants!$B$61*Constants!$B$62),COMPLEX(2,0)))</f>
        <v>0.500045430788017+0.00476585040175103i</v>
      </c>
      <c r="AD206" s="18">
        <f t="shared" si="182"/>
        <v>0.50006814153875612</v>
      </c>
      <c r="AE206" s="18">
        <f t="shared" si="183"/>
        <v>9.5305462490059452E-3</v>
      </c>
      <c r="AF206" s="66" t="str">
        <f t="shared" si="184"/>
        <v>1.09048333209235-4.68273631783405i</v>
      </c>
      <c r="AG206" s="64">
        <f t="shared" si="185"/>
        <v>13.639347291167493</v>
      </c>
      <c r="AH206" s="61">
        <f t="shared" si="186"/>
        <v>-76.890988018569843</v>
      </c>
      <c r="AI206" s="50" t="str">
        <f t="shared" si="166"/>
        <v>107.538871525172</v>
      </c>
      <c r="AJ206" s="50" t="str">
        <f t="shared" si="167"/>
        <v>1+3.55150018581932i</v>
      </c>
      <c r="AK206" s="50">
        <f t="shared" si="187"/>
        <v>3.6896007331247467</v>
      </c>
      <c r="AL206" s="50">
        <f t="shared" si="188"/>
        <v>1.2963312896992805</v>
      </c>
      <c r="AM206" s="50" t="str">
        <f t="shared" si="168"/>
        <v>1+0.00428965512640136i</v>
      </c>
      <c r="AN206" s="50">
        <f t="shared" si="189"/>
        <v>1.0000092005282268</v>
      </c>
      <c r="AO206" s="50">
        <f t="shared" si="190"/>
        <v>4.2896288151754308E-3</v>
      </c>
      <c r="AP206" s="50" t="str">
        <f t="shared" si="169"/>
        <v>1-0.0123335019985385i</v>
      </c>
      <c r="AQ206" s="50">
        <f t="shared" si="191"/>
        <v>1.0000760547436121</v>
      </c>
      <c r="AR206" s="50">
        <f t="shared" si="192"/>
        <v>-1.2332876684274203E-2</v>
      </c>
      <c r="AS206" s="59" t="str">
        <f t="shared" si="193"/>
        <v>7.6743731514126-28.1205638886395i</v>
      </c>
      <c r="AT206" s="50">
        <f t="shared" si="194"/>
        <v>29.292462550864666</v>
      </c>
      <c r="AU206" s="61">
        <f t="shared" si="195"/>
        <v>-74.735155906996553</v>
      </c>
      <c r="AV206" s="32" t="str">
        <f t="shared" si="170"/>
        <v>-0.0000333333333333333</v>
      </c>
      <c r="AW206" s="32" t="str">
        <f t="shared" si="171"/>
        <v>0.000228781606741406i</v>
      </c>
      <c r="AX206" s="32">
        <f t="shared" si="196"/>
        <v>2.2878160674140601E-4</v>
      </c>
      <c r="AY206" s="32">
        <f t="shared" si="197"/>
        <v>1.5707963267948966</v>
      </c>
      <c r="AZ206" s="32" t="str">
        <f t="shared" si="172"/>
        <v>1+0.0933397180281779i</v>
      </c>
      <c r="BA206" s="32">
        <f t="shared" si="198"/>
        <v>1.0043467045605217</v>
      </c>
      <c r="BB206" s="32">
        <f t="shared" si="199"/>
        <v>9.3070058278045695E-2</v>
      </c>
      <c r="BC206" s="32" t="str">
        <f t="shared" si="173"/>
        <v>1+4.48030646535254i</v>
      </c>
      <c r="BD206" s="32">
        <f t="shared" si="200"/>
        <v>4.5905496428510366</v>
      </c>
      <c r="BE206" s="32">
        <f t="shared" si="201"/>
        <v>1.3511967454990148</v>
      </c>
      <c r="BF206" s="59" t="str">
        <f t="shared" si="202"/>
        <v>-0.633657623550456+0.204844782384613i</v>
      </c>
      <c r="BG206" s="50">
        <f t="shared" si="203"/>
        <v>-3.5312266217696529</v>
      </c>
      <c r="BH206" s="61">
        <f t="shared" si="204"/>
        <v>162.08534927053736</v>
      </c>
      <c r="BI206" s="59" t="str">
        <f t="shared" si="205"/>
        <v>0.268241025256219+3.19063138772864i</v>
      </c>
      <c r="BJ206" s="64">
        <f t="shared" si="206"/>
        <v>10.108120669397834</v>
      </c>
      <c r="BK206" s="61">
        <f t="shared" si="207"/>
        <v>85.19436125196755</v>
      </c>
      <c r="BL206" s="59" t="str">
        <f t="shared" si="211"/>
        <v>0.897425736937433+19.3908649847135i</v>
      </c>
      <c r="BM206" s="64">
        <f t="shared" si="208"/>
        <v>25.761235929095005</v>
      </c>
      <c r="BN206" s="61">
        <f t="shared" si="212"/>
        <v>87.350193363540853</v>
      </c>
      <c r="BO206" s="50">
        <f t="shared" si="209"/>
        <v>10.108120669397834</v>
      </c>
      <c r="BP206" s="61">
        <f t="shared" si="210"/>
        <v>85.19436125196755</v>
      </c>
    </row>
    <row r="207" spans="14:68" x14ac:dyDescent="0.25">
      <c r="N207" s="11">
        <v>89</v>
      </c>
      <c r="O207" s="51">
        <f t="shared" si="213"/>
        <v>776.24711662869231</v>
      </c>
      <c r="P207" s="49" t="str">
        <f t="shared" si="161"/>
        <v>37.1583961085025</v>
      </c>
      <c r="Q207" s="18" t="str">
        <f t="shared" si="162"/>
        <v>1+3.82287962249589i</v>
      </c>
      <c r="R207" s="18">
        <f t="shared" si="174"/>
        <v>3.951507131221494</v>
      </c>
      <c r="S207" s="18">
        <f t="shared" si="175"/>
        <v>1.3149461540771963</v>
      </c>
      <c r="T207" s="18" t="str">
        <f t="shared" si="163"/>
        <v>1+0.00438957403014773i</v>
      </c>
      <c r="U207" s="18">
        <f t="shared" si="176"/>
        <v>1.0000096341336748</v>
      </c>
      <c r="V207" s="18">
        <f t="shared" si="177"/>
        <v>4.3895458371758728E-3</v>
      </c>
      <c r="W207" s="32" t="str">
        <f t="shared" si="164"/>
        <v>1-0.0384214740775371i</v>
      </c>
      <c r="X207" s="18">
        <f t="shared" si="178"/>
        <v>1.0007378326366456</v>
      </c>
      <c r="Y207" s="18">
        <f t="shared" si="179"/>
        <v>-3.8402584754950286E-2</v>
      </c>
      <c r="Z207" s="32" t="str">
        <f t="shared" si="165"/>
        <v>0.999984936010348+0.0092506208264965i</v>
      </c>
      <c r="AA207" s="18">
        <f t="shared" si="180"/>
        <v>1.0000277227323726</v>
      </c>
      <c r="AB207" s="18">
        <f t="shared" si="181"/>
        <v>9.2504963106440352E-3</v>
      </c>
      <c r="AC207" s="32" t="str">
        <f>IMDIV(IMSUM(COMPLEX(0,2*PI()*O207*Constants!$B$61*Constants!$B$62),COMPLEX(1,0)),IMSUM(COMPLEX(0,2*PI()*O207*Constants!$B$61*Constants!$B$62),COMPLEX(2,0)))</f>
        <v>0.500047571671383+0.00487684043489021i</v>
      </c>
      <c r="AD207" s="18">
        <f t="shared" si="182"/>
        <v>0.50007135241590706</v>
      </c>
      <c r="AE207" s="18">
        <f t="shared" si="183"/>
        <v>9.7524437630060311E-3</v>
      </c>
      <c r="AF207" s="66" t="str">
        <f t="shared" si="184"/>
        <v>1.03769642385066-4.59001811802842i</v>
      </c>
      <c r="AG207" s="64">
        <f t="shared" si="185"/>
        <v>13.45277257293494</v>
      </c>
      <c r="AH207" s="61">
        <f t="shared" si="186"/>
        <v>-77.260909023427658</v>
      </c>
      <c r="AI207" s="50" t="str">
        <f t="shared" si="166"/>
        <v>107.538871525172</v>
      </c>
      <c r="AJ207" s="50" t="str">
        <f t="shared" si="167"/>
        <v>1+3.63422525223271i</v>
      </c>
      <c r="AK207" s="50">
        <f t="shared" si="187"/>
        <v>3.769296112534263</v>
      </c>
      <c r="AL207" s="50">
        <f t="shared" si="188"/>
        <v>1.3022796882227321</v>
      </c>
      <c r="AM207" s="50" t="str">
        <f t="shared" si="168"/>
        <v>1+0.00438957403014773i</v>
      </c>
      <c r="AN207" s="50">
        <f t="shared" si="189"/>
        <v>1.0000096341336748</v>
      </c>
      <c r="AO207" s="50">
        <f t="shared" si="190"/>
        <v>4.3895458371758728E-3</v>
      </c>
      <c r="AP207" s="50" t="str">
        <f t="shared" si="169"/>
        <v>1-0.0126207861653851i</v>
      </c>
      <c r="AQ207" s="50">
        <f t="shared" si="191"/>
        <v>1.0000796389505349</v>
      </c>
      <c r="AR207" s="50">
        <f t="shared" si="192"/>
        <v>-1.2620116131960769E-2</v>
      </c>
      <c r="AS207" s="59" t="str">
        <f t="shared" si="193"/>
        <v>7.3431088232998-27.5716867798367i</v>
      </c>
      <c r="AT207" s="50">
        <f t="shared" si="194"/>
        <v>29.106879753337672</v>
      </c>
      <c r="AU207" s="61">
        <f t="shared" si="195"/>
        <v>-75.086706821652172</v>
      </c>
      <c r="AV207" s="32" t="str">
        <f t="shared" si="170"/>
        <v>-0.0000333333333333333</v>
      </c>
      <c r="AW207" s="32" t="str">
        <f t="shared" si="171"/>
        <v>0.000234110614941212i</v>
      </c>
      <c r="AX207" s="32">
        <f t="shared" si="196"/>
        <v>2.3411061494121201E-4</v>
      </c>
      <c r="AY207" s="32">
        <f t="shared" si="197"/>
        <v>1.5707963267948966</v>
      </c>
      <c r="AZ207" s="32" t="str">
        <f t="shared" si="172"/>
        <v>1+0.095513879359696i</v>
      </c>
      <c r="BA207" s="32">
        <f t="shared" si="198"/>
        <v>1.0045510943452993</v>
      </c>
      <c r="BB207" s="32">
        <f t="shared" si="199"/>
        <v>9.5225004385464107E-2</v>
      </c>
      <c r="BC207" s="32" t="str">
        <f t="shared" si="173"/>
        <v>1+4.58466620926542i</v>
      </c>
      <c r="BD207" s="32">
        <f t="shared" si="200"/>
        <v>4.6924582310746414</v>
      </c>
      <c r="BE207" s="32">
        <f t="shared" si="201"/>
        <v>1.3560414757365145</v>
      </c>
      <c r="BF207" s="59" t="str">
        <f t="shared" si="202"/>
        <v>-0.633399797004029+0.202881307969638i</v>
      </c>
      <c r="BG207" s="50">
        <f t="shared" si="203"/>
        <v>-3.5422795206077495</v>
      </c>
      <c r="BH207" s="61">
        <f t="shared" si="204"/>
        <v>162.23946254899221</v>
      </c>
      <c r="BI207" s="59" t="str">
        <f t="shared" si="205"/>
        <v>0.273952175171127+3.11784575195025i</v>
      </c>
      <c r="BJ207" s="64">
        <f t="shared" si="206"/>
        <v>9.9104930523271779</v>
      </c>
      <c r="BK207" s="61">
        <f t="shared" si="207"/>
        <v>84.97855352556455</v>
      </c>
      <c r="BL207" s="59" t="str">
        <f t="shared" si="211"/>
        <v>0.942656238765858+18.9536803320417i</v>
      </c>
      <c r="BM207" s="64">
        <f t="shared" si="208"/>
        <v>25.564600232729923</v>
      </c>
      <c r="BN207" s="61">
        <f t="shared" si="212"/>
        <v>87.152755727340036</v>
      </c>
      <c r="BO207" s="50">
        <f t="shared" si="209"/>
        <v>9.9104930523271779</v>
      </c>
      <c r="BP207" s="61">
        <f t="shared" si="210"/>
        <v>84.97855352556455</v>
      </c>
    </row>
    <row r="208" spans="14:68" x14ac:dyDescent="0.25">
      <c r="N208" s="11">
        <v>90</v>
      </c>
      <c r="O208" s="51">
        <f t="shared" si="213"/>
        <v>794.32823472428208</v>
      </c>
      <c r="P208" s="49" t="str">
        <f t="shared" si="161"/>
        <v>37.1583961085025</v>
      </c>
      <c r="Q208" s="18" t="str">
        <f t="shared" si="162"/>
        <v>1+3.91192592803295i</v>
      </c>
      <c r="R208" s="18">
        <f t="shared" si="174"/>
        <v>4.0377177299083771</v>
      </c>
      <c r="S208" s="18">
        <f t="shared" si="175"/>
        <v>1.3205272493381117</v>
      </c>
      <c r="T208" s="18" t="str">
        <f t="shared" si="163"/>
        <v>1+0.00449182034414776i</v>
      </c>
      <c r="U208" s="18">
        <f t="shared" si="176"/>
        <v>1.0000100881741165</v>
      </c>
      <c r="V208" s="18">
        <f t="shared" si="177"/>
        <v>4.4917901348506019E-3</v>
      </c>
      <c r="W208" s="32" t="str">
        <f t="shared" si="164"/>
        <v>1-0.0393164251766404i</v>
      </c>
      <c r="X208" s="18">
        <f t="shared" si="178"/>
        <v>1.0007725921949853</v>
      </c>
      <c r="Y208" s="18">
        <f t="shared" si="179"/>
        <v>-3.9296185746640996E-2</v>
      </c>
      <c r="Z208" s="32" t="str">
        <f t="shared" si="165"/>
        <v>0.999984226066388+0.00946609546600027i</v>
      </c>
      <c r="AA208" s="18">
        <f t="shared" si="180"/>
        <v>1.0000290292511336</v>
      </c>
      <c r="AB208" s="18">
        <f t="shared" si="181"/>
        <v>9.4659620450485201E-3</v>
      </c>
      <c r="AC208" s="32" t="str">
        <f>IMDIV(IMSUM(COMPLEX(0,2*PI()*O208*Constants!$B$61*Constants!$B$62),COMPLEX(1,0)),IMSUM(COMPLEX(0,2*PI()*O208*Constants!$B$61*Constants!$B$62),COMPLEX(2,0)))</f>
        <v>0.500049813431821+0.00499041426463868i</v>
      </c>
      <c r="AD208" s="18">
        <f t="shared" si="182"/>
        <v>0.50007471456546548</v>
      </c>
      <c r="AE208" s="18">
        <f t="shared" si="183"/>
        <v>9.9795029686630156E-3</v>
      </c>
      <c r="AF208" s="66" t="str">
        <f t="shared" si="184"/>
        <v>0.986986886885296-4.49856662447624i</v>
      </c>
      <c r="AG208" s="64">
        <f t="shared" si="185"/>
        <v>13.265661559965219</v>
      </c>
      <c r="AH208" s="61">
        <f t="shared" si="186"/>
        <v>-77.625359368622426</v>
      </c>
      <c r="AI208" s="50" t="str">
        <f t="shared" si="166"/>
        <v>107.538871525172</v>
      </c>
      <c r="AJ208" s="50" t="str">
        <f t="shared" si="167"/>
        <v>1+3.71887723297949i</v>
      </c>
      <c r="AK208" s="50">
        <f t="shared" si="187"/>
        <v>3.8509801186156736</v>
      </c>
      <c r="AL208" s="50">
        <f t="shared" si="188"/>
        <v>1.3081115611604301</v>
      </c>
      <c r="AM208" s="50" t="str">
        <f t="shared" si="168"/>
        <v>1+0.00449182034414776i</v>
      </c>
      <c r="AN208" s="50">
        <f t="shared" si="189"/>
        <v>1.0000100881741165</v>
      </c>
      <c r="AO208" s="50">
        <f t="shared" si="190"/>
        <v>4.4917901348506019E-3</v>
      </c>
      <c r="AP208" s="50" t="str">
        <f t="shared" si="169"/>
        <v>1-0.0129147620401125i</v>
      </c>
      <c r="AQ208" s="50">
        <f t="shared" si="191"/>
        <v>1.0000833920621583</v>
      </c>
      <c r="AR208" s="50">
        <f t="shared" si="192"/>
        <v>-1.2914044089596467E-2</v>
      </c>
      <c r="AS208" s="59" t="str">
        <f t="shared" si="193"/>
        <v>7.02469577048161-27.0297748143577i</v>
      </c>
      <c r="AT208" s="50">
        <f t="shared" si="194"/>
        <v>28.920695894936873</v>
      </c>
      <c r="AU208" s="61">
        <f t="shared" si="195"/>
        <v>-75.431831192356185</v>
      </c>
      <c r="AV208" s="32" t="str">
        <f t="shared" si="170"/>
        <v>-0.0000333333333333333</v>
      </c>
      <c r="AW208" s="32" t="str">
        <f t="shared" si="171"/>
        <v>0.00023956375168788i</v>
      </c>
      <c r="AX208" s="32">
        <f t="shared" si="196"/>
        <v>2.3956375168788E-4</v>
      </c>
      <c r="AY208" s="32">
        <f t="shared" si="197"/>
        <v>1.5707963267948966</v>
      </c>
      <c r="AZ208" s="32" t="str">
        <f t="shared" si="172"/>
        <v>1+0.0977386834143263i</v>
      </c>
      <c r="BA208" s="32">
        <f t="shared" si="198"/>
        <v>1.0047650721614312</v>
      </c>
      <c r="BB208" s="32">
        <f t="shared" si="199"/>
        <v>9.742922753040234E-2</v>
      </c>
      <c r="BC208" s="32" t="str">
        <f t="shared" si="173"/>
        <v>1+4.69145680388767i</v>
      </c>
      <c r="BD208" s="32">
        <f t="shared" si="200"/>
        <v>4.7968496894049029</v>
      </c>
      <c r="BE208" s="32">
        <f t="shared" si="201"/>
        <v>1.3607858409017208</v>
      </c>
      <c r="BF208" s="59" t="str">
        <f t="shared" si="202"/>
        <v>-0.633130044248399+0.20102310408756i</v>
      </c>
      <c r="BG208" s="50">
        <f t="shared" si="203"/>
        <v>-3.5530156027370792</v>
      </c>
      <c r="BH208" s="61">
        <f t="shared" si="204"/>
        <v>162.38500196611747</v>
      </c>
      <c r="BI208" s="59" t="str">
        <f t="shared" si="205"/>
        <v>0.279424775430633+3.04658485370441i</v>
      </c>
      <c r="BJ208" s="64">
        <f t="shared" si="206"/>
        <v>9.7126459572281334</v>
      </c>
      <c r="BK208" s="61">
        <f t="shared" si="207"/>
        <v>84.759642597495045</v>
      </c>
      <c r="BL208" s="59" t="str">
        <f t="shared" si="211"/>
        <v>0.986063291973372+18.5254886732915i</v>
      </c>
      <c r="BM208" s="64">
        <f t="shared" si="208"/>
        <v>25.367680292199786</v>
      </c>
      <c r="BN208" s="61">
        <f t="shared" si="212"/>
        <v>86.953170773761286</v>
      </c>
      <c r="BO208" s="50">
        <f t="shared" si="209"/>
        <v>9.7126459572281334</v>
      </c>
      <c r="BP208" s="61">
        <f t="shared" si="210"/>
        <v>84.759642597495045</v>
      </c>
    </row>
    <row r="209" spans="14:68" x14ac:dyDescent="0.25">
      <c r="N209" s="11">
        <v>91</v>
      </c>
      <c r="O209" s="51">
        <f t="shared" si="213"/>
        <v>812.83051616409978</v>
      </c>
      <c r="P209" s="49" t="str">
        <f t="shared" si="161"/>
        <v>37.1583961085025</v>
      </c>
      <c r="Q209" s="18" t="str">
        <f t="shared" si="162"/>
        <v>1+4.00304638847749i</v>
      </c>
      <c r="R209" s="18">
        <f t="shared" si="174"/>
        <v>4.1260611227056101</v>
      </c>
      <c r="S209" s="18">
        <f t="shared" si="175"/>
        <v>1.3259967346307417</v>
      </c>
      <c r="T209" s="18" t="str">
        <f t="shared" si="163"/>
        <v>1+0.00459644828075053i</v>
      </c>
      <c r="U209" s="18">
        <f t="shared" si="176"/>
        <v>1.0000105636126038</v>
      </c>
      <c r="V209" s="18">
        <f t="shared" si="177"/>
        <v>4.5964159109238949E-3</v>
      </c>
      <c r="W209" s="32" t="str">
        <f t="shared" si="164"/>
        <v>1-0.0402322223647867i</v>
      </c>
      <c r="X209" s="18">
        <f t="shared" si="178"/>
        <v>1.0008089886269056</v>
      </c>
      <c r="Y209" s="18">
        <f t="shared" si="179"/>
        <v>-4.0210536371495416E-2</v>
      </c>
      <c r="Z209" s="32" t="str">
        <f t="shared" si="165"/>
        <v>0.9999834826638+0.00968658915461869i</v>
      </c>
      <c r="AA209" s="18">
        <f t="shared" si="180"/>
        <v>1.0000303973429372</v>
      </c>
      <c r="AB209" s="18">
        <f t="shared" si="181"/>
        <v>9.6864461917040758E-3</v>
      </c>
      <c r="AC209" s="32" t="str">
        <f>IMDIV(IMSUM(COMPLEX(0,2*PI()*O209*Constants!$B$61*Constants!$B$62),COMPLEX(1,0)),IMSUM(COMPLEX(0,2*PI()*O209*Constants!$B$61*Constants!$B$62),COMPLEX(2,0)))</f>
        <v>0.500052160821627+0.00510663196856971i</v>
      </c>
      <c r="AD209" s="18">
        <f t="shared" si="182"/>
        <v>0.5000782351117079</v>
      </c>
      <c r="AE209" s="18">
        <f t="shared" si="183"/>
        <v>1.0211843599355163E-2</v>
      </c>
      <c r="AF209" s="66" t="str">
        <f t="shared" si="184"/>
        <v>0.93828509928726-4.40840176147553i</v>
      </c>
      <c r="AG209" s="64">
        <f t="shared" si="185"/>
        <v>13.078036793684383</v>
      </c>
      <c r="AH209" s="61">
        <f t="shared" si="186"/>
        <v>-77.98445228190586</v>
      </c>
      <c r="AI209" s="50" t="str">
        <f t="shared" si="166"/>
        <v>107.538871525172</v>
      </c>
      <c r="AJ209" s="50" t="str">
        <f t="shared" si="167"/>
        <v>1+3.80550101166035i</v>
      </c>
      <c r="AK209" s="50">
        <f t="shared" si="187"/>
        <v>3.934696678239372</v>
      </c>
      <c r="AL209" s="50">
        <f t="shared" si="188"/>
        <v>1.31382841323643</v>
      </c>
      <c r="AM209" s="50" t="str">
        <f t="shared" si="168"/>
        <v>1+0.00459644828075053i</v>
      </c>
      <c r="AN209" s="50">
        <f t="shared" si="189"/>
        <v>1.0000105636126038</v>
      </c>
      <c r="AO209" s="50">
        <f t="shared" si="190"/>
        <v>4.5964159109238949E-3</v>
      </c>
      <c r="AP209" s="50" t="str">
        <f t="shared" si="169"/>
        <v>1-0.0132155854926206i</v>
      </c>
      <c r="AQ209" s="50">
        <f t="shared" si="191"/>
        <v>1.0000873220373874</v>
      </c>
      <c r="AR209" s="50">
        <f t="shared" si="192"/>
        <v>-1.321481619841024E-2</v>
      </c>
      <c r="AS209" s="59" t="str">
        <f t="shared" si="193"/>
        <v>6.7187187167734-26.4949831630276i</v>
      </c>
      <c r="AT209" s="50">
        <f t="shared" si="194"/>
        <v>28.733934513684623</v>
      </c>
      <c r="AU209" s="61">
        <f t="shared" si="195"/>
        <v>-75.770621045444585</v>
      </c>
      <c r="AV209" s="32" t="str">
        <f t="shared" si="170"/>
        <v>-0.0000333333333333333</v>
      </c>
      <c r="AW209" s="32" t="str">
        <f t="shared" si="171"/>
        <v>0.000245143908306695i</v>
      </c>
      <c r="AX209" s="32">
        <f t="shared" si="196"/>
        <v>2.4514390830669502E-4</v>
      </c>
      <c r="AY209" s="32">
        <f t="shared" si="197"/>
        <v>1.5707963267948966</v>
      </c>
      <c r="AZ209" s="32" t="str">
        <f t="shared" si="172"/>
        <v>1+0.100015309812627i</v>
      </c>
      <c r="BA209" s="32">
        <f t="shared" si="198"/>
        <v>1.0049890856108417</v>
      </c>
      <c r="BB209" s="32">
        <f t="shared" si="199"/>
        <v>9.9683810698507472E-2</v>
      </c>
      <c r="BC209" s="32" t="str">
        <f t="shared" si="173"/>
        <v>1+4.80073487100611i</v>
      </c>
      <c r="BD209" s="32">
        <f t="shared" si="200"/>
        <v>4.9037796954690016</v>
      </c>
      <c r="BE209" s="32">
        <f t="shared" si="201"/>
        <v>1.3654315017979051</v>
      </c>
      <c r="BF209" s="59" t="str">
        <f t="shared" si="202"/>
        <v>-0.632847824590183+0.199269024161731i</v>
      </c>
      <c r="BG209" s="50">
        <f t="shared" si="203"/>
        <v>-3.5634550927196318</v>
      </c>
      <c r="BH209" s="61">
        <f t="shared" si="204"/>
        <v>162.52200062842419</v>
      </c>
      <c r="BI209" s="59" t="str">
        <f t="shared" si="205"/>
        <v>0.284666233192759+2.97681862078979i</v>
      </c>
      <c r="BJ209" s="64">
        <f t="shared" si="206"/>
        <v>9.5145817009647633</v>
      </c>
      <c r="BK209" s="61">
        <f t="shared" si="207"/>
        <v>84.537548346518321</v>
      </c>
      <c r="BL209" s="59" t="str">
        <f t="shared" si="211"/>
        <v>1.02770291613461+18.1061249795841i</v>
      </c>
      <c r="BM209" s="64">
        <f t="shared" si="208"/>
        <v>25.17047942096497</v>
      </c>
      <c r="BN209" s="61">
        <f t="shared" si="212"/>
        <v>86.751379582979581</v>
      </c>
      <c r="BO209" s="50">
        <f t="shared" si="209"/>
        <v>9.5145817009647633</v>
      </c>
      <c r="BP209" s="61">
        <f t="shared" si="210"/>
        <v>84.537548346518321</v>
      </c>
    </row>
    <row r="210" spans="14:68" x14ac:dyDescent="0.25">
      <c r="N210" s="11">
        <v>92</v>
      </c>
      <c r="O210" s="51">
        <f t="shared" si="213"/>
        <v>831.7637711026714</v>
      </c>
      <c r="P210" s="49" t="str">
        <f t="shared" si="161"/>
        <v>37.1583961085025</v>
      </c>
      <c r="Q210" s="18" t="str">
        <f t="shared" si="162"/>
        <v>1+4.0962893171038i</v>
      </c>
      <c r="R210" s="18">
        <f t="shared" si="174"/>
        <v>4.2165846569728336</v>
      </c>
      <c r="S210" s="18">
        <f t="shared" si="175"/>
        <v>1.3313562004235184</v>
      </c>
      <c r="T210" s="18" t="str">
        <f t="shared" si="163"/>
        <v>1+0.00470351331507294i</v>
      </c>
      <c r="U210" s="18">
        <f t="shared" si="176"/>
        <v>1.0000110614575746</v>
      </c>
      <c r="V210" s="18">
        <f t="shared" si="177"/>
        <v>4.7034786301995146E-3</v>
      </c>
      <c r="W210" s="32" t="str">
        <f t="shared" si="164"/>
        <v>1-0.0411693512097673i</v>
      </c>
      <c r="X210" s="18">
        <f t="shared" si="178"/>
        <v>1.0008470989511999</v>
      </c>
      <c r="Y210" s="18">
        <f t="shared" si="179"/>
        <v>-4.114611531138198E-2</v>
      </c>
      <c r="Z210" s="32" t="str">
        <f t="shared" si="165"/>
        <v>0.999982704225727+0.00991221880102405i</v>
      </c>
      <c r="AA210" s="18">
        <f t="shared" si="180"/>
        <v>1.000031829909507</v>
      </c>
      <c r="AB210" s="18">
        <f t="shared" si="181"/>
        <v>9.9120656137377562E-3</v>
      </c>
      <c r="AC210" s="32" t="str">
        <f>IMDIV(IMSUM(COMPLEX(0,2*PI()*O210*Constants!$B$61*Constants!$B$62),COMPLEX(1,0)),IMSUM(COMPLEX(0,2*PI()*O210*Constants!$B$61*Constants!$B$62),COMPLEX(2,0)))</f>
        <v>0.500054618816881+0.00522555501600893i</v>
      </c>
      <c r="AD210" s="18">
        <f t="shared" si="182"/>
        <v>0.50008192151418696</v>
      </c>
      <c r="AE210" s="18">
        <f t="shared" si="183"/>
        <v>1.044958814183841E-2</v>
      </c>
      <c r="AF210" s="66" t="str">
        <f t="shared" si="184"/>
        <v>0.891522753195294-4.31954050381761i</v>
      </c>
      <c r="AG210" s="64">
        <f t="shared" si="185"/>
        <v>12.889920114444566</v>
      </c>
      <c r="AH210" s="61">
        <f t="shared" si="186"/>
        <v>-78.338302816747998</v>
      </c>
      <c r="AI210" s="50" t="str">
        <f t="shared" si="166"/>
        <v>107.538871525172</v>
      </c>
      <c r="AJ210" s="50" t="str">
        <f t="shared" si="167"/>
        <v>1+3.89414251734935i</v>
      </c>
      <c r="AK210" s="50">
        <f t="shared" si="187"/>
        <v>4.0204907592765258</v>
      </c>
      <c r="AL210" s="50">
        <f t="shared" si="188"/>
        <v>1.3194317802636293</v>
      </c>
      <c r="AM210" s="50" t="str">
        <f t="shared" si="168"/>
        <v>1+0.00470351331507294i</v>
      </c>
      <c r="AN210" s="50">
        <f t="shared" si="189"/>
        <v>1.0000110614575746</v>
      </c>
      <c r="AO210" s="50">
        <f t="shared" si="190"/>
        <v>4.7034786301995146E-3</v>
      </c>
      <c r="AP210" s="50" t="str">
        <f t="shared" si="169"/>
        <v>1-0.0135234160234858i</v>
      </c>
      <c r="AQ210" s="50">
        <f t="shared" si="191"/>
        <v>1.0000914372100904</v>
      </c>
      <c r="AR210" s="50">
        <f t="shared" si="192"/>
        <v>-1.3522591713958374E-2</v>
      </c>
      <c r="AS210" s="59" t="str">
        <f t="shared" si="193"/>
        <v>6.42476884511321-25.9674479081214i</v>
      </c>
      <c r="AT210" s="50">
        <f t="shared" si="194"/>
        <v>28.546618386569911</v>
      </c>
      <c r="AU210" s="61">
        <f t="shared" si="195"/>
        <v>-76.103170323286591</v>
      </c>
      <c r="AV210" s="32" t="str">
        <f t="shared" si="170"/>
        <v>-0.0000333333333333333</v>
      </c>
      <c r="AW210" s="32" t="str">
        <f t="shared" si="171"/>
        <v>0.000250854043470556i</v>
      </c>
      <c r="AX210" s="32">
        <f t="shared" si="196"/>
        <v>2.5085404347055599E-4</v>
      </c>
      <c r="AY210" s="32">
        <f t="shared" si="197"/>
        <v>1.5707963267948966</v>
      </c>
      <c r="AZ210" s="32" t="str">
        <f t="shared" si="172"/>
        <v>1+0.10234496565205i</v>
      </c>
      <c r="BA210" s="32">
        <f t="shared" si="198"/>
        <v>1.0052236029830972</v>
      </c>
      <c r="BB210" s="32">
        <f t="shared" si="199"/>
        <v>0.10198985756628914</v>
      </c>
      <c r="BC210" s="32" t="str">
        <f t="shared" si="173"/>
        <v>1+4.91255835129841i</v>
      </c>
      <c r="BD210" s="32">
        <f t="shared" si="200"/>
        <v>5.0133052525167212</v>
      </c>
      <c r="BE210" s="32">
        <f t="shared" si="201"/>
        <v>1.3699801191344161</v>
      </c>
      <c r="BF210" s="59" t="str">
        <f t="shared" si="202"/>
        <v>-0.632552573869759+0.197617965663138i</v>
      </c>
      <c r="BG210" s="50">
        <f t="shared" si="203"/>
        <v>-3.5736177784918128</v>
      </c>
      <c r="BH210" s="61">
        <f t="shared" si="204"/>
        <v>162.65049045154305</v>
      </c>
      <c r="BI210" s="59" t="str">
        <f t="shared" si="205"/>
        <v>0.289683794766825+2.90851737645336i</v>
      </c>
      <c r="BJ210" s="64">
        <f t="shared" si="206"/>
        <v>9.3163023359527575</v>
      </c>
      <c r="BK210" s="61">
        <f t="shared" si="207"/>
        <v>84.312187634795052</v>
      </c>
      <c r="BL210" s="59" t="str">
        <f t="shared" si="211"/>
        <v>1.06763015957186+17.6954257601383i</v>
      </c>
      <c r="BM210" s="64">
        <f t="shared" si="208"/>
        <v>24.973000608078113</v>
      </c>
      <c r="BN210" s="61">
        <f t="shared" si="212"/>
        <v>86.547320128256459</v>
      </c>
      <c r="BO210" s="50">
        <f t="shared" si="209"/>
        <v>9.3163023359527575</v>
      </c>
      <c r="BP210" s="61">
        <f t="shared" si="210"/>
        <v>84.312187634795052</v>
      </c>
    </row>
    <row r="211" spans="14:68" x14ac:dyDescent="0.25">
      <c r="N211" s="11">
        <v>93</v>
      </c>
      <c r="O211" s="51">
        <f t="shared" si="213"/>
        <v>851.13803820237763</v>
      </c>
      <c r="P211" s="49" t="str">
        <f t="shared" ref="P211:P274" si="214">COMPLEX(Adc,0)</f>
        <v>37.1583961085025</v>
      </c>
      <c r="Q211" s="18" t="str">
        <f t="shared" ref="Q211:Q274" si="215">IMSUM(COMPLEX(1,0),IMDIV(COMPLEX(0,2*PI()*O211),COMPLEX(wp_lf,0)))</f>
        <v>1+4.19170415254684i</v>
      </c>
      <c r="R211" s="18">
        <f t="shared" si="174"/>
        <v>4.3093368054119905</v>
      </c>
      <c r="S211" s="18">
        <f t="shared" si="175"/>
        <v>1.3366072562886828</v>
      </c>
      <c r="T211" s="18" t="str">
        <f t="shared" ref="T211:T274" si="216">IMSUM(COMPLEX(1,0),IMDIV(COMPLEX(0,2*PI()*O211),COMPLEX(wz_esr,0)))</f>
        <v>1+0.00481307221441336i</v>
      </c>
      <c r="U211" s="18">
        <f t="shared" si="176"/>
        <v>1.0000115827649905</v>
      </c>
      <c r="V211" s="18">
        <f t="shared" si="177"/>
        <v>4.813035048925135E-3</v>
      </c>
      <c r="W211" s="32" t="str">
        <f t="shared" ref="W211:W274" si="217">IMSUB(COMPLEX(1,0),IMDIV(COMPLEX(0,2*PI()*O211),COMPLEX(wz_rhp,0)))</f>
        <v>1-0.0421283085897001i</v>
      </c>
      <c r="X211" s="18">
        <f t="shared" si="178"/>
        <v>1.00088700380444</v>
      </c>
      <c r="Y211" s="18">
        <f t="shared" si="179"/>
        <v>-4.2103412067545823E-2</v>
      </c>
      <c r="Z211" s="32" t="str">
        <f t="shared" ref="Z211:Z274" si="218">IMSUM(COMPLEX(1,0),IMDIV(COMPLEX(0,2*PI()*O211),COMPLEX(Q*(wsl/2),0)),IMDIV(IMPOWER(COMPLEX(0,2*PI()*O211),2),IMPOWER(COMPLEX(wsl/2,0),2)))</f>
        <v>0.999981889100998+0.0101431040370415i</v>
      </c>
      <c r="AA211" s="18">
        <f t="shared" si="180"/>
        <v>1.0000333299893092</v>
      </c>
      <c r="AB211" s="18">
        <f t="shared" si="181"/>
        <v>1.0142939894172441E-2</v>
      </c>
      <c r="AC211" s="32" t="str">
        <f>IMDIV(IMSUM(COMPLEX(0,2*PI()*O211*Constants!$B$61*Constants!$B$62),COMPLEX(1,0)),IMSUM(COMPLEX(0,2*PI()*O211*Constants!$B$61*Constants!$B$62),COMPLEX(2,0)))</f>
        <v>0.500057192627977+0.00534724629990686i</v>
      </c>
      <c r="AD211" s="18">
        <f t="shared" si="182"/>
        <v>0.50008578158348549</v>
      </c>
      <c r="AE211" s="18">
        <f t="shared" si="183"/>
        <v>1.0692861897841308E-2</v>
      </c>
      <c r="AF211" s="66" t="str">
        <f t="shared" si="184"/>
        <v>0.846632922990855-4.23199703971411i</v>
      </c>
      <c r="AG211" s="64">
        <f t="shared" si="185"/>
        <v>12.701332677547775</v>
      </c>
      <c r="AH211" s="61">
        <f t="shared" si="186"/>
        <v>-78.687027661649296</v>
      </c>
      <c r="AI211" s="50" t="str">
        <f t="shared" ref="AI211:AI274" si="219">COMPLEX($B$72,0)</f>
        <v>107.538871525172</v>
      </c>
      <c r="AJ211" s="50" t="str">
        <f t="shared" ref="AJ211:AJ274" si="220">IMSUM(COMPLEX(1,0),IMDIV(COMPLEX(0,2*PI()*O211),COMPLEX(wp_lf_DCM,0)))</f>
        <v>1+3.98484874894614i</v>
      </c>
      <c r="AK211" s="50">
        <f t="shared" si="187"/>
        <v>4.1084083964447373</v>
      </c>
      <c r="AL211" s="50">
        <f t="shared" si="188"/>
        <v>1.324923225170247</v>
      </c>
      <c r="AM211" s="50" t="str">
        <f t="shared" ref="AM211:AM274" si="221">IMSUM(COMPLEX(1,0),IMDIV(COMPLEX(0,2*PI()*O211),COMPLEX(wz1_dcm,0)))</f>
        <v>1+0.00481307221441336i</v>
      </c>
      <c r="AN211" s="50">
        <f t="shared" si="189"/>
        <v>1.0000115827649905</v>
      </c>
      <c r="AO211" s="50">
        <f t="shared" si="190"/>
        <v>4.813035048925135E-3</v>
      </c>
      <c r="AP211" s="50" t="str">
        <f t="shared" ref="AP211:AP274" si="222">IMSUB(COMPLEX(1,0),IMDIV(COMPLEX(0,2*PI()*O211),COMPLEX(wz2_dcm,0)))</f>
        <v>1-0.0138384168485303i</v>
      </c>
      <c r="AQ211" s="50">
        <f t="shared" si="191"/>
        <v>1.0000957463067592</v>
      </c>
      <c r="AR211" s="50">
        <f t="shared" si="192"/>
        <v>-1.3837533589525162E-2</v>
      </c>
      <c r="AS211" s="59" t="str">
        <f t="shared" si="193"/>
        <v>6.14244433970536-25.4472870196249i</v>
      </c>
      <c r="AT211" s="50">
        <f t="shared" si="194"/>
        <v>28.358769542219754</v>
      </c>
      <c r="AU211" s="61">
        <f t="shared" si="195"/>
        <v>-76.429574659714746</v>
      </c>
      <c r="AV211" s="32" t="str">
        <f t="shared" ref="AV211:AV274" si="223">COMPLEX(Adc_ea,0)</f>
        <v>-0.0000333333333333333</v>
      </c>
      <c r="AW211" s="32" t="str">
        <f t="shared" ref="AW211:AW274" si="224">COMPLEX(0,2*PI()*O211*wp0_ea)</f>
        <v>0.000256697184768712i</v>
      </c>
      <c r="AX211" s="32">
        <f t="shared" si="196"/>
        <v>2.5669718476871201E-4</v>
      </c>
      <c r="AY211" s="32">
        <f t="shared" si="197"/>
        <v>1.5707963267948966</v>
      </c>
      <c r="AZ211" s="32" t="str">
        <f t="shared" ref="AZ211:AZ274" si="225">IMSUM(COMPLEX(1,0),IMDIV(COMPLEX(0,2*PI()*O211),COMPLEX(wp1_ea,0)))</f>
        <v>1+0.104728886146957i</v>
      </c>
      <c r="BA211" s="32">
        <f t="shared" si="198"/>
        <v>1.0054691141917698</v>
      </c>
      <c r="BB211" s="32">
        <f t="shared" si="199"/>
        <v>0.10434849267083827</v>
      </c>
      <c r="BC211" s="32" t="str">
        <f t="shared" ref="BC211:BC274" si="226">IMSUM(COMPLEX(1,0),IMDIV(COMPLEX(0,2*PI()*O211),COMPLEX(wz_ea,0)))</f>
        <v>1+5.02698653505396i</v>
      </c>
      <c r="BD211" s="32">
        <f t="shared" si="200"/>
        <v>5.1254847208448311</v>
      </c>
      <c r="BE211" s="32">
        <f t="shared" si="201"/>
        <v>1.3744333514095706</v>
      </c>
      <c r="BF211" s="59" t="str">
        <f t="shared" si="202"/>
        <v>-0.632243703543119+0.196068868772725i</v>
      </c>
      <c r="BG211" s="50">
        <f t="shared" si="203"/>
        <v>-3.5835230359751948</v>
      </c>
      <c r="BH211" s="61">
        <f t="shared" si="204"/>
        <v>162.77050202919875</v>
      </c>
      <c r="BI211" s="59" t="str">
        <f t="shared" si="205"/>
        <v>0.294484537452992+2.84165184124893i</v>
      </c>
      <c r="BJ211" s="64">
        <f t="shared" si="206"/>
        <v>9.11780964157259</v>
      </c>
      <c r="BK211" s="61">
        <f t="shared" si="207"/>
        <v>84.083474367549471</v>
      </c>
      <c r="BL211" s="59" t="str">
        <f t="shared" si="211"/>
        <v>1.10589902112992+17.2932291035978i</v>
      </c>
      <c r="BM211" s="64">
        <f t="shared" si="208"/>
        <v>24.775246506244542</v>
      </c>
      <c r="BN211" s="61">
        <f t="shared" si="212"/>
        <v>86.340927369483992</v>
      </c>
      <c r="BO211" s="50">
        <f t="shared" si="209"/>
        <v>9.11780964157259</v>
      </c>
      <c r="BP211" s="61">
        <f t="shared" si="210"/>
        <v>84.083474367549471</v>
      </c>
    </row>
    <row r="212" spans="14:68" x14ac:dyDescent="0.25">
      <c r="N212" s="11">
        <v>94</v>
      </c>
      <c r="O212" s="51">
        <f t="shared" si="213"/>
        <v>870.96358995608091</v>
      </c>
      <c r="P212" s="49" t="str">
        <f t="shared" si="214"/>
        <v>37.1583961085025</v>
      </c>
      <c r="Q212" s="18" t="str">
        <f t="shared" si="215"/>
        <v>1+4.28934148501531i</v>
      </c>
      <c r="R212" s="18">
        <f t="shared" ref="R212:R275" si="227">IMABS(Q212)</f>
        <v>4.4043671934879987</v>
      </c>
      <c r="S212" s="18">
        <f t="shared" ref="S212:S275" si="228">IMARGUMENT(Q212)</f>
        <v>1.3417515275763261</v>
      </c>
      <c r="T212" s="18" t="str">
        <f t="shared" si="216"/>
        <v>1+0.00492518306835039i</v>
      </c>
      <c r="U212" s="18">
        <f t="shared" ref="U212:U275" si="229">IMABS(T212)</f>
        <v>1.0000121286405763</v>
      </c>
      <c r="V212" s="18">
        <f t="shared" ref="V212:V275" si="230">IMARGUMENT(T212)</f>
        <v>4.9251432448383543E-3</v>
      </c>
      <c r="W212" s="32" t="str">
        <f t="shared" si="217"/>
        <v>1-0.0431096029564811i</v>
      </c>
      <c r="X212" s="18">
        <f t="shared" ref="X212:X275" si="231">IMABS(W212)</f>
        <v>1.0009287876103201</v>
      </c>
      <c r="Y212" s="18">
        <f t="shared" ref="Y212:Y275" si="232">IMARGUMENT(W212)</f>
        <v>-4.3082927189133646E-2</v>
      </c>
      <c r="Z212" s="32" t="str">
        <f t="shared" si="218"/>
        <v>0.999981035560624+0.0103793672810791i</v>
      </c>
      <c r="AA212" s="18">
        <f t="shared" ref="AA212:AA275" si="233">IMABS(Z212)</f>
        <v>1.000034900763995</v>
      </c>
      <c r="AB212" s="18">
        <f t="shared" ref="AB212:AB275" si="234">IMARGUMENT(Z212)</f>
        <v>1.0379191399124002E-2</v>
      </c>
      <c r="AC212" s="32" t="str">
        <f>IMDIV(IMSUM(COMPLEX(0,2*PI()*O212*Constants!$B$61*Constants!$B$62),COMPLEX(1,0)),IMSUM(COMPLEX(0,2*PI()*O212*Constants!$B$61*Constants!$B$62),COMPLEX(2,0)))</f>
        <v>0.50005988771065+0.00547177016941488i</v>
      </c>
      <c r="AD212" s="18">
        <f t="shared" ref="AD212:AD275" si="235">IMABS(AC212)</f>
        <v>0.50008982349771403</v>
      </c>
      <c r="AE212" s="18">
        <f t="shared" ref="AE212:AE275" si="236">IMARGUMENT(AC212)</f>
        <v>1.0941793046913575E-2</v>
      </c>
      <c r="AF212" s="66" t="str">
        <f t="shared" ref="AF212:AF275" si="237">(IMDIV(IMPRODUCT(P212,T212,W212,AC212),IMPRODUCT(Q212,Z212)))</f>
        <v>0.803550122874163-4.14578292983238i</v>
      </c>
      <c r="AG212" s="64">
        <f t="shared" ref="AG212:AG275" si="238">20*LOG(IMABS(AF212))</f>
        <v>12.512294970015054</v>
      </c>
      <c r="AH212" s="61">
        <f t="shared" ref="AH212:AH275" si="239">(180/PI())*IMARGUMENT(AF212)</f>
        <v>-79.030744960969258</v>
      </c>
      <c r="AI212" s="50" t="str">
        <f t="shared" si="219"/>
        <v>107.538871525172</v>
      </c>
      <c r="AJ212" s="50" t="str">
        <f t="shared" si="220"/>
        <v>1+4.0776678000953i</v>
      </c>
      <c r="AK212" s="50">
        <f t="shared" ref="AK212:AK275" si="240">IMABS(AJ212)</f>
        <v>4.1984967176281129</v>
      </c>
      <c r="AL212" s="50">
        <f t="shared" ref="AL212:AL275" si="241">IMARGUMENT(AJ212)</f>
        <v>1.3303043342332064</v>
      </c>
      <c r="AM212" s="50" t="str">
        <f t="shared" si="221"/>
        <v>1+0.00492518306835039i</v>
      </c>
      <c r="AN212" s="50">
        <f t="shared" ref="AN212:AN275" si="242">IMABS(AM212)</f>
        <v>1.0000121286405763</v>
      </c>
      <c r="AO212" s="50">
        <f t="shared" ref="AO212:AO275" si="243">IMARGUMENT(AM212)</f>
        <v>4.9251432448383543E-3</v>
      </c>
      <c r="AP212" s="50" t="str">
        <f t="shared" si="222"/>
        <v>1-0.014160754985361i</v>
      </c>
      <c r="AQ212" s="50">
        <f t="shared" ref="AQ212:AQ275" si="244">IMABS(AP212)</f>
        <v>1.0001002584649978</v>
      </c>
      <c r="AR212" s="50">
        <f t="shared" ref="AR212:AR275" si="245">IMARGUMENT(AP212)</f>
        <v>-1.4159808561409651E-2</v>
      </c>
      <c r="AS212" s="59" t="str">
        <f t="shared" ref="AS212:AS275" si="246">(IMDIV(IMPRODUCT(AI212,AM212,AP212),IMPRODUCT(AJ212)))</f>
        <v>5.87135085724427-24.9346013154918i</v>
      </c>
      <c r="AT212" s="50">
        <f t="shared" ref="AT212:AT275" si="247">20*LOG(IMABS(AS212))</f>
        <v>28.170409274518896</v>
      </c>
      <c r="AU212" s="61">
        <f t="shared" ref="AU212:AU275" si="248">(180/PI())*IMARGUMENT(AS212)</f>
        <v>-76.749931167378946</v>
      </c>
      <c r="AV212" s="32" t="str">
        <f t="shared" si="223"/>
        <v>-0.0000333333333333333</v>
      </c>
      <c r="AW212" s="32" t="str">
        <f t="shared" si="224"/>
        <v>0.000262676430312021i</v>
      </c>
      <c r="AX212" s="32">
        <f t="shared" ref="AX212:AX275" si="249">IMABS(AW212)</f>
        <v>2.6267643031202098E-4</v>
      </c>
      <c r="AY212" s="32">
        <f t="shared" ref="AY212:AY275" si="250">IMARGUMENT(AW212)</f>
        <v>1.5707963267948966</v>
      </c>
      <c r="AZ212" s="32" t="str">
        <f t="shared" si="225"/>
        <v>1+0.10716833528355i</v>
      </c>
      <c r="BA212" s="32">
        <f t="shared" ref="BA212:BA275" si="251">IMABS(AZ212)</f>
        <v>1.0057261317513071</v>
      </c>
      <c r="BB212" s="32">
        <f t="shared" ref="BB212:BB275" si="252">IMARGUMENT(AZ212)</f>
        <v>0.10676086156261683</v>
      </c>
      <c r="BC212" s="32" t="str">
        <f t="shared" si="226"/>
        <v>1+5.14408009361042i</v>
      </c>
      <c r="BD212" s="32">
        <f t="shared" ref="BD212:BD275" si="253">IMABS(BC212)</f>
        <v>5.2403778498767615</v>
      </c>
      <c r="BE212" s="32">
        <f t="shared" ref="BE212:BE275" si="254">IMARGUMENT(BC212)</f>
        <v>1.3787928529440023</v>
      </c>
      <c r="BF212" s="59" t="str">
        <f t="shared" ref="BF212:BF275" si="255">IMPRODUCT(AV212,IMDIV(BC212,IMPRODUCT(AW212,AZ212)))</f>
        <v>-0.631920599737623+0.194620715017826i</v>
      </c>
      <c r="BG212" s="50">
        <f t="shared" ref="BG212:BG275" si="256">20*LOG(IMABS(BF212))</f>
        <v>-3.5931898539881653</v>
      </c>
      <c r="BH212" s="61">
        <f t="shared" ref="BH212:BH275" si="257">(180/PI())*IMARGUMENT(BF212)</f>
        <v>162.88206451177487</v>
      </c>
      <c r="BI212" s="59" t="str">
        <f t="shared" ref="BI212:BI275" si="258">IMPRODUCT(AF212,BF212)</f>
        <v>0.299075362546793+2.77619313486811i</v>
      </c>
      <c r="BJ212" s="64">
        <f t="shared" ref="BJ212:BJ275" si="259">20*LOG(IMABS(BI212))</f>
        <v>8.919105116026893</v>
      </c>
      <c r="BK212" s="61">
        <f t="shared" ref="BK212:BK275" si="260">(180/PI())*IMARGUMENT(BI212)</f>
        <v>83.851319550805627</v>
      </c>
      <c r="BL212" s="59" t="str">
        <f t="shared" si="211"/>
        <v>1.14256238172563+16.8993747194615i</v>
      </c>
      <c r="BM212" s="64">
        <f t="shared" ref="BM212:BM275" si="261">20*LOG(IMABS(BL212))</f>
        <v>24.577219420530724</v>
      </c>
      <c r="BN212" s="61">
        <f t="shared" si="212"/>
        <v>86.132133344395925</v>
      </c>
      <c r="BO212" s="50">
        <f t="shared" ref="BO212:BO275" si="262">IF($B$31=0,BM212,BJ212)</f>
        <v>8.919105116026893</v>
      </c>
      <c r="BP212" s="61">
        <f t="shared" ref="BP212:BP275" si="263">IF($B$31=0,BN212,BK212)</f>
        <v>83.851319550805627</v>
      </c>
    </row>
    <row r="213" spans="14:68" x14ac:dyDescent="0.25">
      <c r="N213" s="11">
        <v>95</v>
      </c>
      <c r="O213" s="51">
        <f t="shared" si="213"/>
        <v>891.25093813374656</v>
      </c>
      <c r="P213" s="49" t="str">
        <f t="shared" si="214"/>
        <v>37.1583961085025</v>
      </c>
      <c r="Q213" s="18" t="str">
        <f t="shared" si="215"/>
        <v>1+4.3892530831153i</v>
      </c>
      <c r="R213" s="18">
        <f t="shared" si="227"/>
        <v>4.501726627377229</v>
      </c>
      <c r="S213" s="18">
        <f t="shared" si="228"/>
        <v>1.3467906522812165</v>
      </c>
      <c r="T213" s="18" t="str">
        <f t="shared" si="216"/>
        <v>1+0.00503990531954279i</v>
      </c>
      <c r="U213" s="18">
        <f t="shared" si="229"/>
        <v>1.0000127002421668</v>
      </c>
      <c r="V213" s="18">
        <f t="shared" si="230"/>
        <v>5.0398626479101101E-3</v>
      </c>
      <c r="W213" s="32" t="str">
        <f t="shared" si="217"/>
        <v>1-0.0441137546053729i</v>
      </c>
      <c r="X213" s="18">
        <f t="shared" si="231"/>
        <v>1.0009725387568746</v>
      </c>
      <c r="Y213" s="18">
        <f t="shared" si="232"/>
        <v>-4.4085172505380188E-2</v>
      </c>
      <c r="Z213" s="32" t="str">
        <f t="shared" si="218"/>
        <v>0.999980141794132+0.0106211338030364i</v>
      </c>
      <c r="AA213" s="18">
        <f t="shared" si="233"/>
        <v>1.0000365455651479</v>
      </c>
      <c r="AB213" s="18">
        <f t="shared" si="234"/>
        <v>1.0620945342460332E-2</v>
      </c>
      <c r="AC213" s="32" t="str">
        <f>IMDIV(IMSUM(COMPLEX(0,2*PI()*O213*Constants!$B$61*Constants!$B$62),COMPLEX(1,0)),IMSUM(COMPLEX(0,2*PI()*O213*Constants!$B$61*Constants!$B$62),COMPLEX(2,0)))</f>
        <v>0.500062709777512+0.00559919246317804i</v>
      </c>
      <c r="AD213" s="18">
        <f t="shared" si="235"/>
        <v>0.50009405581977073</v>
      </c>
      <c r="AE213" s="18">
        <f t="shared" si="236"/>
        <v>1.1196512710544403E-2</v>
      </c>
      <c r="AF213" s="66" t="str">
        <f t="shared" si="237"/>
        <v>0.762210354576844-4.06090726205779i</v>
      </c>
      <c r="AG213" s="64">
        <f t="shared" si="238"/>
        <v>12.32282682799411</v>
      </c>
      <c r="AH213" s="61">
        <f t="shared" si="239"/>
        <v>-79.369574146981833</v>
      </c>
      <c r="AI213" s="50" t="str">
        <f t="shared" si="219"/>
        <v>107.538871525172</v>
      </c>
      <c r="AJ213" s="50" t="str">
        <f t="shared" si="220"/>
        <v>1+4.17264888468641i</v>
      </c>
      <c r="AK213" s="50">
        <f t="shared" si="240"/>
        <v>4.2908039706883301</v>
      </c>
      <c r="AL213" s="50">
        <f t="shared" si="241"/>
        <v>1.3355767135146781</v>
      </c>
      <c r="AM213" s="50" t="str">
        <f t="shared" si="221"/>
        <v>1+0.00503990531954279i</v>
      </c>
      <c r="AN213" s="50">
        <f t="shared" si="242"/>
        <v>1.0000127002421668</v>
      </c>
      <c r="AO213" s="50">
        <f t="shared" si="243"/>
        <v>5.0398626479101101E-3</v>
      </c>
      <c r="AP213" s="50" t="str">
        <f t="shared" si="222"/>
        <v>1-0.0144906013419247i</v>
      </c>
      <c r="AQ213" s="50">
        <f t="shared" si="244"/>
        <v>1.0001049832528837</v>
      </c>
      <c r="AR213" s="50">
        <f t="shared" si="245"/>
        <v>-1.4489587236139238E-2</v>
      </c>
      <c r="AS213" s="59" t="str">
        <f t="shared" si="246"/>
        <v>5.61110193173955-24.4294754027092i</v>
      </c>
      <c r="AT213" s="50">
        <f t="shared" si="247"/>
        <v>27.981558157048738</v>
      </c>
      <c r="AU213" s="61">
        <f t="shared" si="248"/>
        <v>-77.064338236810642</v>
      </c>
      <c r="AV213" s="32" t="str">
        <f t="shared" si="223"/>
        <v>-0.0000333333333333333</v>
      </c>
      <c r="AW213" s="32" t="str">
        <f t="shared" si="224"/>
        <v>0.000268794950375615i</v>
      </c>
      <c r="AX213" s="32">
        <f t="shared" si="249"/>
        <v>2.68794950375615E-4</v>
      </c>
      <c r="AY213" s="32">
        <f t="shared" si="250"/>
        <v>1.5707963267948966</v>
      </c>
      <c r="AZ213" s="32" t="str">
        <f t="shared" si="225"/>
        <v>1+0.109664606490051i</v>
      </c>
      <c r="BA213" s="32">
        <f t="shared" si="251"/>
        <v>1.0059951917959737</v>
      </c>
      <c r="BB213" s="32">
        <f t="shared" si="252"/>
        <v>0.10922813093958772</v>
      </c>
      <c r="BC213" s="32" t="str">
        <f t="shared" si="226"/>
        <v>1+5.26390111152247i</v>
      </c>
      <c r="BD213" s="32">
        <f t="shared" si="253"/>
        <v>5.3580458109172131</v>
      </c>
      <c r="BE213" s="32">
        <f t="shared" si="254"/>
        <v>1.3830602720579142</v>
      </c>
      <c r="BF213" s="59" t="str">
        <f t="shared" si="255"/>
        <v>-0.631582622281906+0.193272525879115i</v>
      </c>
      <c r="BG213" s="50">
        <f t="shared" si="256"/>
        <v>-3.6026368594127813</v>
      </c>
      <c r="BH213" s="61">
        <f t="shared" si="257"/>
        <v>162.98520549419311</v>
      </c>
      <c r="BI213" s="59" t="str">
        <f t="shared" si="258"/>
        <v>0.303462989424686+2.71211277789438i</v>
      </c>
      <c r="BJ213" s="64">
        <f t="shared" si="259"/>
        <v>8.7201899685813409</v>
      </c>
      <c r="BK213" s="61">
        <f t="shared" si="260"/>
        <v>83.615631347211291</v>
      </c>
      <c r="BL213" s="59" t="str">
        <f t="shared" si="211"/>
        <v>1.17767194504418+16.5137039791269i</v>
      </c>
      <c r="BM213" s="64">
        <f t="shared" si="261"/>
        <v>24.378921297635966</v>
      </c>
      <c r="BN213" s="61">
        <f t="shared" si="212"/>
        <v>85.920867257382497</v>
      </c>
      <c r="BO213" s="50">
        <f t="shared" si="262"/>
        <v>8.7201899685813409</v>
      </c>
      <c r="BP213" s="61">
        <f t="shared" si="263"/>
        <v>83.615631347211291</v>
      </c>
    </row>
    <row r="214" spans="14:68" x14ac:dyDescent="0.25">
      <c r="N214" s="11">
        <v>96</v>
      </c>
      <c r="O214" s="51">
        <f t="shared" si="213"/>
        <v>912.01083935590987</v>
      </c>
      <c r="P214" s="49" t="str">
        <f t="shared" si="214"/>
        <v>37.1583961085025</v>
      </c>
      <c r="Q214" s="18" t="str">
        <f t="shared" si="215"/>
        <v>1+4.49149192129857i</v>
      </c>
      <c r="R214" s="18">
        <f t="shared" si="227"/>
        <v>4.601467122461087</v>
      </c>
      <c r="S214" s="18">
        <f t="shared" si="228"/>
        <v>1.3517262780969579</v>
      </c>
      <c r="T214" s="18" t="str">
        <f t="shared" si="216"/>
        <v>1+0.00515729979524662i</v>
      </c>
      <c r="U214" s="18">
        <f t="shared" si="229"/>
        <v>1.0000132987821602</v>
      </c>
      <c r="V214" s="18">
        <f t="shared" si="230"/>
        <v>5.1572540718012585E-3</v>
      </c>
      <c r="W214" s="32" t="str">
        <f t="shared" si="217"/>
        <v>1-0.0451412959508708i</v>
      </c>
      <c r="X214" s="18">
        <f t="shared" si="231"/>
        <v>1.0010183497819229</v>
      </c>
      <c r="Y214" s="18">
        <f t="shared" si="232"/>
        <v>-4.5110671361422702E-2</v>
      </c>
      <c r="Z214" s="32" t="str">
        <f t="shared" si="218"/>
        <v>0.999979205905722+0.0108685317907234i</v>
      </c>
      <c r="AA214" s="18">
        <f t="shared" si="233"/>
        <v>1.0000382678813469</v>
      </c>
      <c r="AB214" s="18">
        <f t="shared" si="234"/>
        <v>1.0868329851952928E-2</v>
      </c>
      <c r="AC214" s="32" t="str">
        <f>IMDIV(IMSUM(COMPLEX(0,2*PI()*O214*Constants!$B$61*Constants!$B$62),COMPLEX(1,0)),IMSUM(COMPLEX(0,2*PI()*O214*Constants!$B$61*Constants!$B$62),COMPLEX(2,0)))</f>
        <v>0.50006566481014+0.00572958054335871i</v>
      </c>
      <c r="AD214" s="18">
        <f t="shared" si="235"/>
        <v>0.50009848751541941</v>
      </c>
      <c r="AE214" s="18">
        <f t="shared" si="236"/>
        <v>1.1457155017566466E-2</v>
      </c>
      <c r="AF214" s="66" t="str">
        <f t="shared" si="237"/>
        <v>0.722551145945971-3.97737680167151i</v>
      </c>
      <c r="AG214" s="64">
        <f t="shared" si="238"/>
        <v>12.132947454709546</v>
      </c>
      <c r="AH214" s="61">
        <f t="shared" si="239"/>
        <v>-79.703635782842255</v>
      </c>
      <c r="AI214" s="50" t="str">
        <f t="shared" si="219"/>
        <v>107.538871525172</v>
      </c>
      <c r="AJ214" s="50" t="str">
        <f t="shared" si="220"/>
        <v>1+4.2698423629477i</v>
      </c>
      <c r="AK214" s="50">
        <f t="shared" si="240"/>
        <v>4.3853795507826687</v>
      </c>
      <c r="AL214" s="50">
        <f t="shared" si="241"/>
        <v>1.3407419854973468</v>
      </c>
      <c r="AM214" s="50" t="str">
        <f t="shared" si="221"/>
        <v>1+0.00515729979524662i</v>
      </c>
      <c r="AN214" s="50">
        <f t="shared" si="242"/>
        <v>1.0000132987821602</v>
      </c>
      <c r="AO214" s="50">
        <f t="shared" si="243"/>
        <v>5.1572540718012585E-3</v>
      </c>
      <c r="AP214" s="50" t="str">
        <f t="shared" si="222"/>
        <v>1-0.0148281308071256i</v>
      </c>
      <c r="AQ214" s="50">
        <f t="shared" si="244"/>
        <v>1.0001099306892385</v>
      </c>
      <c r="AR214" s="50">
        <f t="shared" si="245"/>
        <v>-1.4827044179649715E-2</v>
      </c>
      <c r="AS214" s="59" t="str">
        <f t="shared" si="246"/>
        <v>5.36131931740393-23.9319785964693i</v>
      </c>
      <c r="AT214" s="50">
        <f t="shared" si="247"/>
        <v>27.792236058229818</v>
      </c>
      <c r="AU214" s="61">
        <f t="shared" si="248"/>
        <v>-77.372895346945299</v>
      </c>
      <c r="AV214" s="32" t="str">
        <f t="shared" si="223"/>
        <v>-0.0000333333333333333</v>
      </c>
      <c r="AW214" s="32" t="str">
        <f t="shared" si="224"/>
        <v>0.00027505598907982i</v>
      </c>
      <c r="AX214" s="32">
        <f t="shared" si="249"/>
        <v>2.7505598907982001E-4</v>
      </c>
      <c r="AY214" s="32">
        <f t="shared" si="250"/>
        <v>1.5707963267948966</v>
      </c>
      <c r="AZ214" s="32" t="str">
        <f t="shared" si="225"/>
        <v>1+0.112219023322496i</v>
      </c>
      <c r="BA214" s="32">
        <f t="shared" si="251"/>
        <v>1.0062768551424877</v>
      </c>
      <c r="BB214" s="32">
        <f t="shared" si="252"/>
        <v>0.11175148876086088</v>
      </c>
      <c r="BC214" s="32" t="str">
        <f t="shared" si="226"/>
        <v>1+5.38651311947981i</v>
      </c>
      <c r="BD214" s="32">
        <f t="shared" si="253"/>
        <v>5.4785512306017647</v>
      </c>
      <c r="BE214" s="32">
        <f t="shared" si="254"/>
        <v>1.3872372493857126</v>
      </c>
      <c r="BF214" s="59" t="str">
        <f t="shared" si="255"/>
        <v>-0.631229103710366+0.192023361364356i</v>
      </c>
      <c r="BG214" s="50">
        <f t="shared" si="256"/>
        <v>-3.6118823425758828</v>
      </c>
      <c r="BH214" s="61">
        <f t="shared" si="257"/>
        <v>163.07995091283763</v>
      </c>
      <c r="BI214" s="59" t="str">
        <f t="shared" si="258"/>
        <v>0.307653950629202+2.64938269343972i</v>
      </c>
      <c r="BJ214" s="64">
        <f t="shared" si="259"/>
        <v>8.5210651121336554</v>
      </c>
      <c r="BK214" s="61">
        <f t="shared" si="260"/>
        <v>83.376315129995362</v>
      </c>
      <c r="BL214" s="59" t="str">
        <f t="shared" si="211"/>
        <v>1.2112781867639+16.1360599561405i</v>
      </c>
      <c r="BM214" s="64">
        <f t="shared" si="261"/>
        <v>24.180353715653915</v>
      </c>
      <c r="BN214" s="61">
        <f t="shared" si="212"/>
        <v>85.707055565892333</v>
      </c>
      <c r="BO214" s="50">
        <f t="shared" si="262"/>
        <v>8.5210651121336554</v>
      </c>
      <c r="BP214" s="61">
        <f t="shared" si="263"/>
        <v>83.376315129995362</v>
      </c>
    </row>
    <row r="215" spans="14:68" x14ac:dyDescent="0.25">
      <c r="N215" s="11">
        <v>97</v>
      </c>
      <c r="O215" s="51">
        <f t="shared" si="213"/>
        <v>933.25430079699106</v>
      </c>
      <c r="P215" s="49" t="str">
        <f t="shared" si="214"/>
        <v>37.1583961085025</v>
      </c>
      <c r="Q215" s="18" t="str">
        <f t="shared" si="215"/>
        <v>1+4.59611220795045i</v>
      </c>
      <c r="R215" s="18">
        <f t="shared" si="227"/>
        <v>4.7036419323829453</v>
      </c>
      <c r="S215" s="18">
        <f t="shared" si="228"/>
        <v>1.3565600596517051</v>
      </c>
      <c r="T215" s="18" t="str">
        <f t="shared" si="216"/>
        <v>1+0.00527742873956683i</v>
      </c>
      <c r="U215" s="18">
        <f t="shared" si="229"/>
        <v>1.0000139255300904</v>
      </c>
      <c r="V215" s="18">
        <f t="shared" si="230"/>
        <v>5.2773797460492705E-3</v>
      </c>
      <c r="W215" s="32" t="str">
        <f t="shared" si="217"/>
        <v>1-0.0461927718089977i</v>
      </c>
      <c r="X215" s="18">
        <f t="shared" si="231"/>
        <v>1.0010663175671222</v>
      </c>
      <c r="Y215" s="18">
        <f t="shared" si="232"/>
        <v>-4.6159958857708148E-2</v>
      </c>
      <c r="Z215" s="32" t="str">
        <f t="shared" si="218"/>
        <v>0.999978225910251+0.0111216924178279i</v>
      </c>
      <c r="AA215" s="18">
        <f t="shared" si="233"/>
        <v>1.0000400713655677</v>
      </c>
      <c r="AB215" s="18">
        <f t="shared" si="234"/>
        <v>1.1121476036957669E-2</v>
      </c>
      <c r="AC215" s="32" t="str">
        <f>IMDIV(IMSUM(COMPLEX(0,2*PI()*O215*Constants!$B$61*Constants!$B$62),COMPLEX(1,0)),IMSUM(COMPLEX(0,2*PI()*O215*Constants!$B$61*Constants!$B$62),COMPLEX(2,0)))</f>
        <v>0.500068759071725+0.00586300333040486i</v>
      </c>
      <c r="AD215" s="18">
        <f t="shared" si="235"/>
        <v>0.50010312797220857</v>
      </c>
      <c r="AE215" s="18">
        <f t="shared" si="236"/>
        <v>1.1723857170861066E-2</v>
      </c>
      <c r="AF215" s="66" t="str">
        <f t="shared" si="237"/>
        <v>0.684511581109323-3.89519613669311i</v>
      </c>
      <c r="AG215" s="64">
        <f t="shared" si="238"/>
        <v>11.942675438863722</v>
      </c>
      <c r="AH215" s="61">
        <f t="shared" si="239"/>
        <v>-80.033051416134697</v>
      </c>
      <c r="AI215" s="50" t="str">
        <f t="shared" si="219"/>
        <v>107.538871525172</v>
      </c>
      <c r="AJ215" s="50" t="str">
        <f t="shared" si="220"/>
        <v>1+4.36929976814788i</v>
      </c>
      <c r="AK215" s="50">
        <f t="shared" si="240"/>
        <v>4.4822740282067892</v>
      </c>
      <c r="AL215" s="50">
        <f t="shared" si="241"/>
        <v>1.345801785913517</v>
      </c>
      <c r="AM215" s="50" t="str">
        <f t="shared" si="221"/>
        <v>1+0.00527742873956683i</v>
      </c>
      <c r="AN215" s="50">
        <f t="shared" si="242"/>
        <v>1.0000139255300904</v>
      </c>
      <c r="AO215" s="50">
        <f t="shared" si="243"/>
        <v>5.2773797460492705E-3</v>
      </c>
      <c r="AP215" s="50" t="str">
        <f t="shared" si="222"/>
        <v>1-0.015173522343554i</v>
      </c>
      <c r="AQ215" s="50">
        <f t="shared" si="244"/>
        <v>1.0001151112648534</v>
      </c>
      <c r="AR215" s="50">
        <f t="shared" si="245"/>
        <v>-1.5172358008473785E-2</v>
      </c>
      <c r="AS215" s="59" t="str">
        <f t="shared" si="246"/>
        <v>5.12163327396771-23.4421658151658i</v>
      </c>
      <c r="AT215" s="50">
        <f t="shared" si="247"/>
        <v>27.602462157054273</v>
      </c>
      <c r="AU215" s="61">
        <f t="shared" si="248"/>
        <v>-77.675702886823885</v>
      </c>
      <c r="AV215" s="32" t="str">
        <f t="shared" si="223"/>
        <v>-0.0000333333333333333</v>
      </c>
      <c r="AW215" s="32" t="str">
        <f t="shared" si="224"/>
        <v>0.000281462866110231i</v>
      </c>
      <c r="AX215" s="32">
        <f t="shared" si="249"/>
        <v>2.8146286611023102E-4</v>
      </c>
      <c r="AY215" s="32">
        <f t="shared" si="250"/>
        <v>1.5707963267948966</v>
      </c>
      <c r="AZ215" s="32" t="str">
        <f t="shared" si="225"/>
        <v>1+0.114832940166501i</v>
      </c>
      <c r="BA215" s="32">
        <f t="shared" si="251"/>
        <v>1.0065717083980075</v>
      </c>
      <c r="BB215" s="32">
        <f t="shared" si="252"/>
        <v>0.11433214433789435</v>
      </c>
      <c r="BC215" s="32" t="str">
        <f t="shared" si="226"/>
        <v>1+5.51198112799204i</v>
      </c>
      <c r="BD215" s="32">
        <f t="shared" si="253"/>
        <v>5.6019582250620541</v>
      </c>
      <c r="BE215" s="32">
        <f t="shared" si="254"/>
        <v>1.3913254163215754</v>
      </c>
      <c r="BF215" s="59" t="str">
        <f t="shared" si="255"/>
        <v>-0.630859348242849+0.190872318545081i</v>
      </c>
      <c r="BG215" s="50">
        <f t="shared" si="256"/>
        <v>-3.6209442828083196</v>
      </c>
      <c r="BH215" s="61">
        <f t="shared" si="257"/>
        <v>163.16632495126652</v>
      </c>
      <c r="BI215" s="59" t="str">
        <f t="shared" si="258"/>
        <v>0.311654587875147+2.58797520862957i</v>
      </c>
      <c r="BJ215" s="64">
        <f t="shared" si="259"/>
        <v>8.3217311560553888</v>
      </c>
      <c r="BK215" s="61">
        <f t="shared" si="260"/>
        <v>83.133273535131821</v>
      </c>
      <c r="BL215" s="59" t="str">
        <f t="shared" si="211"/>
        <v>1.24343031170478+15.7662874652961i</v>
      </c>
      <c r="BM215" s="64">
        <f t="shared" si="261"/>
        <v>23.981517874245931</v>
      </c>
      <c r="BN215" s="61">
        <f t="shared" si="212"/>
        <v>85.490622064442618</v>
      </c>
      <c r="BO215" s="50">
        <f t="shared" si="262"/>
        <v>8.3217311560553888</v>
      </c>
      <c r="BP215" s="61">
        <f t="shared" si="263"/>
        <v>83.133273535131821</v>
      </c>
    </row>
    <row r="216" spans="14:68" x14ac:dyDescent="0.25">
      <c r="N216" s="11">
        <v>98</v>
      </c>
      <c r="O216" s="51">
        <f t="shared" si="213"/>
        <v>954.99258602143675</v>
      </c>
      <c r="P216" s="49" t="str">
        <f t="shared" si="214"/>
        <v>37.1583961085025</v>
      </c>
      <c r="Q216" s="18" t="str">
        <f t="shared" si="215"/>
        <v>1+4.70316941413173i</v>
      </c>
      <c r="R216" s="18">
        <f t="shared" si="227"/>
        <v>4.8083055786861344</v>
      </c>
      <c r="S216" s="18">
        <f t="shared" si="228"/>
        <v>1.3612936559193531</v>
      </c>
      <c r="T216" s="18" t="str">
        <f t="shared" si="216"/>
        <v>1+0.0054003558464598i</v>
      </c>
      <c r="U216" s="18">
        <f t="shared" si="229"/>
        <v>1.0000145818153194</v>
      </c>
      <c r="V216" s="18">
        <f t="shared" si="230"/>
        <v>5.4003033490012467E-3</v>
      </c>
      <c r="W216" s="32" t="str">
        <f t="shared" si="217"/>
        <v>1-0.0472687396861714i</v>
      </c>
      <c r="X216" s="18">
        <f t="shared" si="231"/>
        <v>1.0011165435410199</v>
      </c>
      <c r="Y216" s="18">
        <f t="shared" si="232"/>
        <v>-4.7233582092937237E-2</v>
      </c>
      <c r="Z216" s="32" t="str">
        <f t="shared" si="218"/>
        <v>0.999977199729016+0.0113807499134653i</v>
      </c>
      <c r="AA216" s="18">
        <f t="shared" si="233"/>
        <v>1.0000419598429242</v>
      </c>
      <c r="AB216" s="18">
        <f t="shared" si="234"/>
        <v>1.1380518057657723E-2</v>
      </c>
      <c r="AC216" s="32" t="str">
        <f>IMDIV(IMSUM(COMPLEX(0,2*PI()*O216*Constants!$B$61*Constants!$B$62),COMPLEX(1,0)),IMSUM(COMPLEX(0,2*PI()*O216*Constants!$B$61*Constants!$B$62),COMPLEX(2,0)))</f>
        <v>0.500071999120312+0.00599953133857685i</v>
      </c>
      <c r="AD216" s="18">
        <f t="shared" si="235"/>
        <v>0.50010798701927162</v>
      </c>
      <c r="AE216" s="18">
        <f t="shared" si="236"/>
        <v>1.1996759515378744E-2</v>
      </c>
      <c r="AF216" s="66" t="str">
        <f t="shared" si="237"/>
        <v>0.648032322905621-3.81436781819576i</v>
      </c>
      <c r="AG216" s="64">
        <f t="shared" si="238"/>
        <v>11.752028773407034</v>
      </c>
      <c r="AH216" s="61">
        <f t="shared" si="239"/>
        <v>-80.357943442646487</v>
      </c>
      <c r="AI216" s="50" t="str">
        <f t="shared" si="219"/>
        <v>107.538871525172</v>
      </c>
      <c r="AJ216" s="50" t="str">
        <f t="shared" si="220"/>
        <v>1+4.47107383391965i</v>
      </c>
      <c r="AK216" s="50">
        <f t="shared" si="240"/>
        <v>4.5815391767790175</v>
      </c>
      <c r="AL216" s="50">
        <f t="shared" si="241"/>
        <v>1.3507577607626509</v>
      </c>
      <c r="AM216" s="50" t="str">
        <f t="shared" si="221"/>
        <v>1+0.0054003558464598i</v>
      </c>
      <c r="AN216" s="50">
        <f t="shared" si="242"/>
        <v>1.0000145818153194</v>
      </c>
      <c r="AO216" s="50">
        <f t="shared" si="243"/>
        <v>5.4003033490012467E-3</v>
      </c>
      <c r="AP216" s="50" t="str">
        <f t="shared" si="222"/>
        <v>1-0.0155269590823743i</v>
      </c>
      <c r="AQ216" s="50">
        <f t="shared" si="244"/>
        <v>1.0001205359647134</v>
      </c>
      <c r="AR216" s="50">
        <f t="shared" si="245"/>
        <v>-1.5525711482978904E-2</v>
      </c>
      <c r="AS216" s="59" t="str">
        <f t="shared" si="246"/>
        <v>4.89168279867171-22.9600784493493i</v>
      </c>
      <c r="AT216" s="50">
        <f t="shared" si="247"/>
        <v>27.412254959308108</v>
      </c>
      <c r="AU216" s="61">
        <f t="shared" si="248"/>
        <v>-77.972861988165988</v>
      </c>
      <c r="AV216" s="32" t="str">
        <f t="shared" si="223"/>
        <v>-0.0000333333333333333</v>
      </c>
      <c r="AW216" s="32" t="str">
        <f t="shared" si="224"/>
        <v>0.000288018978477856i</v>
      </c>
      <c r="AX216" s="32">
        <f t="shared" si="249"/>
        <v>2.88018978477856E-4</v>
      </c>
      <c r="AY216" s="32">
        <f t="shared" si="250"/>
        <v>1.5707963267948966</v>
      </c>
      <c r="AZ216" s="32" t="str">
        <f t="shared" si="225"/>
        <v>1+0.117507742955375i</v>
      </c>
      <c r="BA216" s="32">
        <f t="shared" si="251"/>
        <v>1.0068803651151741</v>
      </c>
      <c r="BB216" s="32">
        <f t="shared" si="252"/>
        <v>0.11697132840117221</v>
      </c>
      <c r="BC216" s="32" t="str">
        <f t="shared" si="226"/>
        <v>1+5.64037166185802i</v>
      </c>
      <c r="BD216" s="32">
        <f t="shared" si="253"/>
        <v>5.7283324348269975</v>
      </c>
      <c r="BE216" s="32">
        <f t="shared" si="254"/>
        <v>1.3953263935895799</v>
      </c>
      <c r="BF216" s="59" t="str">
        <f t="shared" si="255"/>
        <v>-0.630472630740246+0.189818530052132i</v>
      </c>
      <c r="BG216" s="50">
        <f t="shared" si="256"/>
        <v>-3.6298403741516676</v>
      </c>
      <c r="BH216" s="61">
        <f t="shared" si="257"/>
        <v>163.244349954467</v>
      </c>
      <c r="BI216" s="59" t="str">
        <f t="shared" si="258"/>
        <v>0.315471048901058+2.52786305590903i</v>
      </c>
      <c r="BJ216" s="64">
        <f t="shared" si="259"/>
        <v>8.1221883992553767</v>
      </c>
      <c r="BK216" s="61">
        <f t="shared" si="260"/>
        <v>82.88640651182051</v>
      </c>
      <c r="BL216" s="59" t="str">
        <f t="shared" si="211"/>
        <v>1.27417621831176+15.4042331002888i</v>
      </c>
      <c r="BM216" s="64">
        <f t="shared" si="261"/>
        <v>23.78241458515641</v>
      </c>
      <c r="BN216" s="61">
        <f t="shared" si="212"/>
        <v>85.271487966300981</v>
      </c>
      <c r="BO216" s="50">
        <f t="shared" si="262"/>
        <v>8.1221883992553767</v>
      </c>
      <c r="BP216" s="61">
        <f t="shared" si="263"/>
        <v>82.88640651182051</v>
      </c>
    </row>
    <row r="217" spans="14:68" x14ac:dyDescent="0.25">
      <c r="N217" s="11">
        <v>99</v>
      </c>
      <c r="O217" s="51">
        <f t="shared" si="213"/>
        <v>977.23722095581138</v>
      </c>
      <c r="P217" s="49" t="str">
        <f t="shared" si="214"/>
        <v>37.1583961085025</v>
      </c>
      <c r="Q217" s="18" t="str">
        <f t="shared" si="215"/>
        <v>1+4.81272030299018i</v>
      </c>
      <c r="R217" s="18">
        <f t="shared" si="227"/>
        <v>4.9155138810518988</v>
      </c>
      <c r="S217" s="18">
        <f t="shared" si="228"/>
        <v>1.3659287277999428</v>
      </c>
      <c r="T217" s="18" t="str">
        <f t="shared" si="216"/>
        <v>1+0.00552614629350472i</v>
      </c>
      <c r="U217" s="18">
        <f t="shared" si="229"/>
        <v>1.0000152690298569</v>
      </c>
      <c r="V217" s="18">
        <f t="shared" si="230"/>
        <v>5.5260900415107922E-3</v>
      </c>
      <c r="W217" s="32" t="str">
        <f t="shared" si="217"/>
        <v>1-0.0483697700748024i</v>
      </c>
      <c r="X217" s="18">
        <f t="shared" si="231"/>
        <v>1.0011691338915165</v>
      </c>
      <c r="Y217" s="18">
        <f t="shared" si="232"/>
        <v>-4.8332100410490353E-2</v>
      </c>
      <c r="Z217" s="32" t="str">
        <f t="shared" si="218"/>
        <v>0.99997612518535+0.0116458416333488i</v>
      </c>
      <c r="AA217" s="18">
        <f t="shared" si="233"/>
        <v>1.0000439373187837</v>
      </c>
      <c r="AB217" s="18">
        <f t="shared" si="234"/>
        <v>1.164559319590471E-2</v>
      </c>
      <c r="AC217" s="32" t="str">
        <f>IMDIV(IMSUM(COMPLEX(0,2*PI()*O217*Constants!$B$61*Constants!$B$62),COMPLEX(1,0)),IMSUM(COMPLEX(0,2*PI()*O217*Constants!$B$61*Constants!$B$62),COMPLEX(2,0)))</f>
        <v>0.500075391822672+0.00613923671224653i</v>
      </c>
      <c r="AD217" s="18">
        <f t="shared" si="235"/>
        <v>0.50011307494806412</v>
      </c>
      <c r="AE217" s="18">
        <f t="shared" si="236"/>
        <v>1.227600560748834E-2</v>
      </c>
      <c r="AF217" s="66" t="str">
        <f t="shared" si="237"/>
        <v>0.613055628233971-3.73489249545259i</v>
      </c>
      <c r="AG217" s="64">
        <f t="shared" si="238"/>
        <v>11.561024874602397</v>
      </c>
      <c r="AH217" s="61">
        <f t="shared" si="239"/>
        <v>-80.678434980009925</v>
      </c>
      <c r="AI217" s="50" t="str">
        <f t="shared" si="219"/>
        <v>107.538871525172</v>
      </c>
      <c r="AJ217" s="50" t="str">
        <f t="shared" si="220"/>
        <v>1+4.57521852221983i</v>
      </c>
      <c r="AK217" s="50">
        <f t="shared" si="240"/>
        <v>4.6832280027843405</v>
      </c>
      <c r="AL217" s="50">
        <f t="shared" si="241"/>
        <v>1.3556115635116304</v>
      </c>
      <c r="AM217" s="50" t="str">
        <f t="shared" si="221"/>
        <v>1+0.00552614629350472i</v>
      </c>
      <c r="AN217" s="50">
        <f t="shared" si="242"/>
        <v>1.0000152690298569</v>
      </c>
      <c r="AO217" s="50">
        <f t="shared" si="243"/>
        <v>5.5260900415107922E-3</v>
      </c>
      <c r="AP217" s="50" t="str">
        <f t="shared" si="222"/>
        <v>1-0.0158886284204236i</v>
      </c>
      <c r="AQ217" s="50">
        <f t="shared" si="244"/>
        <v>1.0001262162912652</v>
      </c>
      <c r="AR217" s="50">
        <f t="shared" si="245"/>
        <v>-1.5887291602697796E-2</v>
      </c>
      <c r="AS217" s="59" t="str">
        <f t="shared" si="246"/>
        <v>4.67111580905136-22.4857452031343i</v>
      </c>
      <c r="AT217" s="50">
        <f t="shared" si="247"/>
        <v>27.221632314187701</v>
      </c>
      <c r="AU217" s="61">
        <f t="shared" si="248"/>
        <v>-78.264474368487555</v>
      </c>
      <c r="AV217" s="32" t="str">
        <f t="shared" si="223"/>
        <v>-0.0000333333333333333</v>
      </c>
      <c r="AW217" s="32" t="str">
        <f t="shared" si="224"/>
        <v>0.000294727802320251i</v>
      </c>
      <c r="AX217" s="32">
        <f t="shared" si="249"/>
        <v>2.9472780232025098E-4</v>
      </c>
      <c r="AY217" s="32">
        <f t="shared" si="250"/>
        <v>1.5707963267948966</v>
      </c>
      <c r="AZ217" s="32" t="str">
        <f t="shared" si="225"/>
        <v>1+0.120244849904964i</v>
      </c>
      <c r="BA217" s="32">
        <f t="shared" si="251"/>
        <v>1.0072034669959529</v>
      </c>
      <c r="BB217" s="32">
        <f t="shared" si="252"/>
        <v>0.11967029314014754</v>
      </c>
      <c r="BC217" s="32" t="str">
        <f t="shared" si="226"/>
        <v>1+5.77175279543827i</v>
      </c>
      <c r="BD217" s="32">
        <f t="shared" si="253"/>
        <v>5.8577410604813771</v>
      </c>
      <c r="BE217" s="32">
        <f t="shared" si="254"/>
        <v>1.399241789932155</v>
      </c>
      <c r="BF217" s="59" t="str">
        <f t="shared" si="255"/>
        <v>-0.630068195636976+0.188861162525911i</v>
      </c>
      <c r="BG217" s="50">
        <f t="shared" si="256"/>
        <v>-3.6385880511851449</v>
      </c>
      <c r="BH217" s="61">
        <f t="shared" si="257"/>
        <v>163.31404635141965</v>
      </c>
      <c r="BI217" s="59" t="str">
        <f t="shared" si="258"/>
        <v>0.319109285094006+2.46901937414922i</v>
      </c>
      <c r="BJ217" s="64">
        <f t="shared" si="259"/>
        <v>7.9224368234172662</v>
      </c>
      <c r="BK217" s="61">
        <f t="shared" si="260"/>
        <v>82.635611371409723</v>
      </c>
      <c r="BL217" s="59" t="str">
        <f t="shared" si="211"/>
        <v>1.30356246990503+15.0497452696822i</v>
      </c>
      <c r="BM217" s="64">
        <f t="shared" si="261"/>
        <v>23.583044263002545</v>
      </c>
      <c r="BN217" s="61">
        <f t="shared" si="212"/>
        <v>85.049571982932079</v>
      </c>
      <c r="BO217" s="50">
        <f t="shared" si="262"/>
        <v>7.9224368234172662</v>
      </c>
      <c r="BP217" s="61">
        <f t="shared" si="263"/>
        <v>82.635611371409723</v>
      </c>
    </row>
    <row r="218" spans="14:68" x14ac:dyDescent="0.25">
      <c r="N218" s="11">
        <v>100</v>
      </c>
      <c r="O218" s="51">
        <f t="shared" si="213"/>
        <v>1000</v>
      </c>
      <c r="P218" s="49" t="str">
        <f t="shared" si="214"/>
        <v>37.1583961085025</v>
      </c>
      <c r="Q218" s="18" t="str">
        <f t="shared" si="215"/>
        <v>1+4.92482295985715i</v>
      </c>
      <c r="R218" s="18">
        <f t="shared" si="227"/>
        <v>5.0253239881560008</v>
      </c>
      <c r="S218" s="18">
        <f t="shared" si="228"/>
        <v>1.3704669358628685</v>
      </c>
      <c r="T218" s="18" t="str">
        <f t="shared" si="216"/>
        <v>1+0.00565486677646164i</v>
      </c>
      <c r="U218" s="18">
        <f t="shared" si="229"/>
        <v>1.0000159886313116</v>
      </c>
      <c r="V218" s="18">
        <f t="shared" si="230"/>
        <v>5.6548065014162376E-3</v>
      </c>
      <c r="W218" s="32" t="str">
        <f t="shared" si="217"/>
        <v>1-0.0494964467557766i</v>
      </c>
      <c r="X218" s="18">
        <f t="shared" si="231"/>
        <v>1.001224199788163</v>
      </c>
      <c r="Y218" s="18">
        <f t="shared" si="232"/>
        <v>-4.9456085648261622E-2</v>
      </c>
      <c r="Z218" s="32" t="str">
        <f t="shared" si="218"/>
        <v>0.999975+0.0119171081326173i</v>
      </c>
      <c r="AA218" s="18">
        <f t="shared" si="233"/>
        <v>1.0000460079872546</v>
      </c>
      <c r="AB218" s="18">
        <f t="shared" si="234"/>
        <v>1.1916841927694226E-2</v>
      </c>
      <c r="AC218" s="32" t="str">
        <f>IMDIV(IMSUM(COMPLEX(0,2*PI()*O218*Constants!$B$61*Constants!$B$62),COMPLEX(1,0)),IMSUM(COMPLEX(0,2*PI()*O218*Constants!$B$61*Constants!$B$62),COMPLEX(2,0)))</f>
        <v>0.500078944368814+0.00628219326298315i</v>
      </c>
      <c r="AD218" s="18">
        <f t="shared" si="235"/>
        <v>0.5001184025340607</v>
      </c>
      <c r="AE218" s="18">
        <f t="shared" si="236"/>
        <v>1.2561742285668656E-2</v>
      </c>
      <c r="AF218" s="66" t="str">
        <f t="shared" si="237"/>
        <v>0.579525356946841-3.65676904581879i</v>
      </c>
      <c r="AG218" s="64">
        <f t="shared" si="238"/>
        <v>11.369680601315441</v>
      </c>
      <c r="AH218" s="61">
        <f t="shared" si="239"/>
        <v>-80.994649750838661</v>
      </c>
      <c r="AI218" s="50" t="str">
        <f t="shared" si="219"/>
        <v>107.538871525172</v>
      </c>
      <c r="AJ218" s="50" t="str">
        <f t="shared" si="220"/>
        <v>1+4.68178905194065i</v>
      </c>
      <c r="AK218" s="50">
        <f t="shared" si="240"/>
        <v>4.7873947744959713</v>
      </c>
      <c r="AL218" s="50">
        <f t="shared" si="241"/>
        <v>1.3603648524717151</v>
      </c>
      <c r="AM218" s="50" t="str">
        <f t="shared" si="221"/>
        <v>1+0.00565486677646164i</v>
      </c>
      <c r="AN218" s="50">
        <f t="shared" si="242"/>
        <v>1.0000159886313116</v>
      </c>
      <c r="AO218" s="50">
        <f t="shared" si="243"/>
        <v>5.6548065014162376E-3</v>
      </c>
      <c r="AP218" s="50" t="str">
        <f t="shared" si="222"/>
        <v>1-0.0162587221195723i</v>
      </c>
      <c r="AQ218" s="50">
        <f t="shared" si="244"/>
        <v>1.000132164288781</v>
      </c>
      <c r="AR218" s="50">
        <f t="shared" si="245"/>
        <v>-1.6257289703794694E-2</v>
      </c>
      <c r="AS218" s="59" t="str">
        <f t="shared" si="246"/>
        <v>4.45958928047351-22.019182906887i</v>
      </c>
      <c r="AT218" s="50">
        <f t="shared" si="247"/>
        <v>27.030611431223313</v>
      </c>
      <c r="AU218" s="61">
        <f t="shared" si="248"/>
        <v>-78.550642184420767</v>
      </c>
      <c r="AV218" s="32" t="str">
        <f t="shared" si="223"/>
        <v>-0.0000333333333333333</v>
      </c>
      <c r="AW218" s="32" t="str">
        <f t="shared" si="224"/>
        <v>0.00030159289474462i</v>
      </c>
      <c r="AX218" s="32">
        <f t="shared" si="249"/>
        <v>3.0159289474462002E-4</v>
      </c>
      <c r="AY218" s="32">
        <f t="shared" si="250"/>
        <v>1.5707963267948966</v>
      </c>
      <c r="AZ218" s="32" t="str">
        <f t="shared" si="225"/>
        <v>1+0.1230457122656i</v>
      </c>
      <c r="BA218" s="32">
        <f t="shared" si="251"/>
        <v>1.0075416851460532</v>
      </c>
      <c r="BB218" s="32">
        <f t="shared" si="252"/>
        <v>0.12243031221408159</v>
      </c>
      <c r="BC218" s="32" t="str">
        <f t="shared" si="226"/>
        <v>1+5.90619418874883i</v>
      </c>
      <c r="BD218" s="32">
        <f t="shared" si="253"/>
        <v>5.9902528991028792</v>
      </c>
      <c r="BE218" s="32">
        <f t="shared" si="254"/>
        <v>1.4030732009107361</v>
      </c>
      <c r="BF218" s="59" t="str">
        <f t="shared" si="255"/>
        <v>-0.629645255851503+0.187999415016942i</v>
      </c>
      <c r="BG218" s="50">
        <f t="shared" si="256"/>
        <v>-3.6472045149499452</v>
      </c>
      <c r="BH218" s="61">
        <f t="shared" si="257"/>
        <v>163.37543258576036</v>
      </c>
      <c r="BI218" s="59" t="str">
        <f t="shared" si="258"/>
        <v>0.322575049818766+2.41141770953792i</v>
      </c>
      <c r="BJ218" s="64">
        <f t="shared" si="259"/>
        <v>7.7224760863655018</v>
      </c>
      <c r="BK218" s="61">
        <f t="shared" si="260"/>
        <v>82.380782834921732</v>
      </c>
      <c r="BL218" s="59" t="str">
        <f t="shared" si="211"/>
        <v>1.33163427214944+14.7026742309928i</v>
      </c>
      <c r="BM218" s="64">
        <f t="shared" si="261"/>
        <v>23.383406916273401</v>
      </c>
      <c r="BN218" s="61">
        <f t="shared" si="212"/>
        <v>84.824790401339627</v>
      </c>
      <c r="BO218" s="50">
        <f t="shared" si="262"/>
        <v>7.7224760863655018</v>
      </c>
      <c r="BP218" s="61">
        <f t="shared" si="263"/>
        <v>82.380782834921732</v>
      </c>
    </row>
    <row r="219" spans="14:68" x14ac:dyDescent="0.25">
      <c r="N219" s="11">
        <v>1</v>
      </c>
      <c r="O219" s="51">
        <f>10^(3+(N219/100))</f>
        <v>1023.2929922807547</v>
      </c>
      <c r="P219" s="49" t="str">
        <f t="shared" si="214"/>
        <v>37.1583961085025</v>
      </c>
      <c r="Q219" s="18" t="str">
        <f t="shared" si="215"/>
        <v>1+5.03953682304518i</v>
      </c>
      <c r="R219" s="18">
        <f t="shared" si="227"/>
        <v>5.1377944091631669</v>
      </c>
      <c r="S219" s="18">
        <f t="shared" si="228"/>
        <v>1.3749099382463779</v>
      </c>
      <c r="T219" s="18" t="str">
        <f t="shared" si="216"/>
        <v>1+0.00578658554463445i</v>
      </c>
      <c r="U219" s="18">
        <f t="shared" si="229"/>
        <v>1.0000167421459829</v>
      </c>
      <c r="V219" s="18">
        <f t="shared" si="230"/>
        <v>5.786520958818076E-3</v>
      </c>
      <c r="W219" s="32" t="str">
        <f t="shared" si="217"/>
        <v>1-0.0506493671079836i</v>
      </c>
      <c r="X219" s="18">
        <f t="shared" si="231"/>
        <v>1.0012818576147473</v>
      </c>
      <c r="Y219" s="18">
        <f t="shared" si="232"/>
        <v>-5.0606122391817998E-2</v>
      </c>
      <c r="Z219" s="32" t="str">
        <f t="shared" si="218"/>
        <v>0.999973821786299+0.0121946932403592i</v>
      </c>
      <c r="AA219" s="18">
        <f t="shared" si="233"/>
        <v>1.0000481762400866</v>
      </c>
      <c r="AB219" s="18">
        <f t="shared" si="234"/>
        <v>1.2194407997311904E-2</v>
      </c>
      <c r="AC219" s="32" t="str">
        <f>IMDIV(IMSUM(COMPLEX(0,2*PI()*O219*Constants!$B$61*Constants!$B$62),COMPLEX(1,0)),IMSUM(COMPLEX(0,2*PI()*O219*Constants!$B$61*Constants!$B$62),COMPLEX(2,0)))</f>
        <v>0.500082664287182+0.00642847650743991i</v>
      </c>
      <c r="AD219" s="18">
        <f t="shared" si="235"/>
        <v>0.50012398105946998</v>
      </c>
      <c r="AE219" s="18">
        <f t="shared" si="236"/>
        <v>1.2854119742553632E-2</v>
      </c>
      <c r="AF219" s="66" t="str">
        <f t="shared" si="237"/>
        <v>0.547386974879505-3.57999469929553i</v>
      </c>
      <c r="AG219" s="64">
        <f t="shared" si="238"/>
        <v>11.178012274469362</v>
      </c>
      <c r="AH219" s="61">
        <f t="shared" si="239"/>
        <v>-81.306711974981923</v>
      </c>
      <c r="AI219" s="50" t="str">
        <f t="shared" si="219"/>
        <v>107.538871525172</v>
      </c>
      <c r="AJ219" s="50" t="str">
        <f t="shared" si="220"/>
        <v>1+4.79084192818762i</v>
      </c>
      <c r="AK219" s="50">
        <f t="shared" si="240"/>
        <v>4.8940950522931681</v>
      </c>
      <c r="AL219" s="50">
        <f t="shared" si="241"/>
        <v>1.3650192883459742</v>
      </c>
      <c r="AM219" s="50" t="str">
        <f t="shared" si="221"/>
        <v>1+0.00578658554463445i</v>
      </c>
      <c r="AN219" s="50">
        <f t="shared" si="242"/>
        <v>1.0000167421459829</v>
      </c>
      <c r="AO219" s="50">
        <f t="shared" si="243"/>
        <v>5.786520958818076E-3</v>
      </c>
      <c r="AP219" s="50" t="str">
        <f t="shared" si="222"/>
        <v>1-0.0166374364083984i</v>
      </c>
      <c r="AQ219" s="50">
        <f t="shared" si="244"/>
        <v>1.0001383925688703</v>
      </c>
      <c r="AR219" s="50">
        <f t="shared" si="245"/>
        <v>-1.6635901558709958E-2</v>
      </c>
      <c r="AS219" s="59" t="str">
        <f t="shared" si="246"/>
        <v>4.25676934222362-21.5603973003257i</v>
      </c>
      <c r="AT219" s="50">
        <f t="shared" si="247"/>
        <v>26.839208897430041</v>
      </c>
      <c r="AU219" s="61">
        <f t="shared" si="248"/>
        <v>-78.831467894880419</v>
      </c>
      <c r="AV219" s="32" t="str">
        <f t="shared" si="223"/>
        <v>-0.0000333333333333333</v>
      </c>
      <c r="AW219" s="32" t="str">
        <f t="shared" si="224"/>
        <v>0.000308617895713837i</v>
      </c>
      <c r="AX219" s="32">
        <f t="shared" si="249"/>
        <v>3.0861789571383699E-4</v>
      </c>
      <c r="AY219" s="32">
        <f t="shared" si="250"/>
        <v>1.5707963267948966</v>
      </c>
      <c r="AZ219" s="32" t="str">
        <f t="shared" si="225"/>
        <v>1+0.125911815091583i</v>
      </c>
      <c r="BA219" s="32">
        <f t="shared" si="251"/>
        <v>1.0078957213817592</v>
      </c>
      <c r="BB219" s="32">
        <f t="shared" si="252"/>
        <v>0.12525268073130871</v>
      </c>
      <c r="BC219" s="32" t="str">
        <f t="shared" si="226"/>
        <v>1+6.04376712439599i</v>
      </c>
      <c r="BD219" s="32">
        <f t="shared" si="253"/>
        <v>6.1259383814995862</v>
      </c>
      <c r="BE219" s="32">
        <f t="shared" si="254"/>
        <v>1.4068222078126751</v>
      </c>
      <c r="BF219" s="59" t="str">
        <f t="shared" si="255"/>
        <v>-0.629202991676309+0.187232517332257i</v>
      </c>
      <c r="BG219" s="50">
        <f t="shared" si="256"/>
        <v>-3.655706758951081</v>
      </c>
      <c r="BH219" s="61">
        <f t="shared" si="257"/>
        <v>163.42852505433916</v>
      </c>
      <c r="BI219" s="59" t="str">
        <f t="shared" si="258"/>
        <v>0.325873897386409+2.35503201624365i</v>
      </c>
      <c r="BJ219" s="64">
        <f t="shared" si="259"/>
        <v>7.5223055155182648</v>
      </c>
      <c r="BK219" s="61">
        <f t="shared" si="260"/>
        <v>82.121813079357253</v>
      </c>
      <c r="BL219" s="59" t="str">
        <f t="shared" si="211"/>
        <v>1.35843545622048+14.3628721227421i</v>
      </c>
      <c r="BM219" s="64">
        <f t="shared" si="261"/>
        <v>23.183502138478985</v>
      </c>
      <c r="BN219" s="61">
        <f t="shared" si="212"/>
        <v>84.597057159458785</v>
      </c>
      <c r="BO219" s="50">
        <f t="shared" si="262"/>
        <v>7.5223055155182648</v>
      </c>
      <c r="BP219" s="61">
        <f t="shared" si="263"/>
        <v>82.121813079357253</v>
      </c>
    </row>
    <row r="220" spans="14:68" x14ac:dyDescent="0.25">
      <c r="N220" s="11">
        <v>2</v>
      </c>
      <c r="O220" s="51">
        <f t="shared" ref="O220:O283" si="264">10^(3+(N220/100))</f>
        <v>1047.1285480509</v>
      </c>
      <c r="P220" s="49" t="str">
        <f t="shared" si="214"/>
        <v>37.1583961085025</v>
      </c>
      <c r="Q220" s="18" t="str">
        <f t="shared" si="215"/>
        <v>1+5.15692271536295i</v>
      </c>
      <c r="R220" s="18">
        <f t="shared" si="227"/>
        <v>5.2529850458788072</v>
      </c>
      <c r="S220" s="18">
        <f t="shared" si="228"/>
        <v>1.3792593887068174</v>
      </c>
      <c r="T220" s="18" t="str">
        <f t="shared" si="216"/>
        <v>1+0.00592137243705754i</v>
      </c>
      <c r="U220" s="18">
        <f t="shared" si="229"/>
        <v>1.0000175311720982</v>
      </c>
      <c r="V220" s="18">
        <f t="shared" si="230"/>
        <v>5.9213032321739746E-3</v>
      </c>
      <c r="W220" s="32" t="str">
        <f t="shared" si="217"/>
        <v>1-0.051829142425055i</v>
      </c>
      <c r="X220" s="18">
        <f t="shared" si="231"/>
        <v>1.0013422292126286</v>
      </c>
      <c r="Y220" s="18">
        <f t="shared" si="232"/>
        <v>-5.1782808230787229E-2</v>
      </c>
      <c r="Z220" s="32" t="str">
        <f t="shared" si="218"/>
        <v>0.999972588045096+0.0124787441358731i</v>
      </c>
      <c r="AA220" s="18">
        <f t="shared" si="233"/>
        <v>1.0000504466759743</v>
      </c>
      <c r="AB220" s="18">
        <f t="shared" si="234"/>
        <v>1.2478438493189548E-2</v>
      </c>
      <c r="AC220" s="32" t="str">
        <f>IMDIV(IMSUM(COMPLEX(0,2*PI()*O220*Constants!$B$61*Constants!$B$62),COMPLEX(1,0)),IMSUM(COMPLEX(0,2*PI()*O220*Constants!$B$61*Constants!$B$62),COMPLEX(2,0)))</f>
        <v>0.500086559460568+0.0065781637060551i</v>
      </c>
      <c r="AD220" s="18">
        <f t="shared" si="235"/>
        <v>0.50012982233701264</v>
      </c>
      <c r="AE220" s="18">
        <f t="shared" si="236"/>
        <v>1.3153291598341435E-2</v>
      </c>
      <c r="AF220" s="66" t="str">
        <f t="shared" si="237"/>
        <v>0.516587551577125-3.50456515775806i</v>
      </c>
      <c r="AG220" s="64">
        <f t="shared" si="238"/>
        <v>10.986035696609244</v>
      </c>
      <c r="AH220" s="61">
        <f t="shared" si="239"/>
        <v>-81.61474627051669</v>
      </c>
      <c r="AI220" s="50" t="str">
        <f t="shared" si="219"/>
        <v>107.538871525172</v>
      </c>
      <c r="AJ220" s="50" t="str">
        <f t="shared" si="220"/>
        <v>1+4.90243497223921i</v>
      </c>
      <c r="AK220" s="50">
        <f t="shared" si="240"/>
        <v>5.003385719393826</v>
      </c>
      <c r="AL220" s="50">
        <f t="shared" si="241"/>
        <v>1.3695765319407873</v>
      </c>
      <c r="AM220" s="50" t="str">
        <f t="shared" si="221"/>
        <v>1+0.00592137243705754i</v>
      </c>
      <c r="AN220" s="50">
        <f t="shared" si="242"/>
        <v>1.0000175311720982</v>
      </c>
      <c r="AO220" s="50">
        <f t="shared" si="243"/>
        <v>5.9213032321739746E-3</v>
      </c>
      <c r="AP220" s="50" t="str">
        <f t="shared" si="222"/>
        <v>1-0.0170249720862308i</v>
      </c>
      <c r="AQ220" s="50">
        <f t="shared" si="244"/>
        <v>1.0001449143371859</v>
      </c>
      <c r="AR220" s="50">
        <f t="shared" si="245"/>
        <v>-1.7023327478028753E-2</v>
      </c>
      <c r="AS220" s="59" t="str">
        <f t="shared" si="246"/>
        <v>4.06233133576874-21.1093837854353i</v>
      </c>
      <c r="AT220" s="50">
        <f t="shared" si="247"/>
        <v>26.647440694613024</v>
      </c>
      <c r="AU220" s="61">
        <f t="shared" si="248"/>
        <v>-79.10705413371069</v>
      </c>
      <c r="AV220" s="32" t="str">
        <f t="shared" si="223"/>
        <v>-0.0000333333333333333</v>
      </c>
      <c r="AW220" s="32" t="str">
        <f t="shared" si="224"/>
        <v>0.000315806529976402i</v>
      </c>
      <c r="AX220" s="32">
        <f t="shared" si="249"/>
        <v>3.1580652997640198E-4</v>
      </c>
      <c r="AY220" s="32">
        <f t="shared" si="250"/>
        <v>1.5707963267948966</v>
      </c>
      <c r="AZ220" s="32" t="str">
        <f t="shared" si="225"/>
        <v>1+0.128844678028567i</v>
      </c>
      <c r="BA220" s="32">
        <f t="shared" si="251"/>
        <v>1.0082663095910152</v>
      </c>
      <c r="BB220" s="32">
        <f t="shared" si="252"/>
        <v>0.12813871519424103</v>
      </c>
      <c r="BC220" s="32" t="str">
        <f t="shared" si="226"/>
        <v>1+6.18454454537122i</v>
      </c>
      <c r="BD220" s="32">
        <f t="shared" si="253"/>
        <v>6.2648696102697068</v>
      </c>
      <c r="BE220" s="32">
        <f t="shared" si="254"/>
        <v>1.4104903766586117</v>
      </c>
      <c r="BF220" s="59" t="str">
        <f t="shared" si="255"/>
        <v>-0.628740549648919+0.186559728322896i</v>
      </c>
      <c r="BG220" s="50">
        <f t="shared" si="256"/>
        <v>-3.6641115952211396</v>
      </c>
      <c r="BH220" s="61">
        <f t="shared" si="257"/>
        <v>163.47333805349743</v>
      </c>
      <c r="BI220" s="59" t="str">
        <f t="shared" si="258"/>
        <v>0.32901118260084+2.29983665684647i</v>
      </c>
      <c r="BJ220" s="64">
        <f t="shared" si="259"/>
        <v>7.3219241013880989</v>
      </c>
      <c r="BK220" s="61">
        <f t="shared" si="260"/>
        <v>81.858591782980724</v>
      </c>
      <c r="BL220" s="59" t="str">
        <f t="shared" si="211"/>
        <v>1.38400846716729+14.0301929943632i</v>
      </c>
      <c r="BM220" s="64">
        <f t="shared" si="261"/>
        <v>22.983329099391902</v>
      </c>
      <c r="BN220" s="61">
        <f t="shared" si="212"/>
        <v>84.366283919786753</v>
      </c>
      <c r="BO220" s="50">
        <f t="shared" si="262"/>
        <v>7.3219241013880989</v>
      </c>
      <c r="BP220" s="61">
        <f t="shared" si="263"/>
        <v>81.858591782980724</v>
      </c>
    </row>
    <row r="221" spans="14:68" x14ac:dyDescent="0.25">
      <c r="N221" s="11">
        <v>3</v>
      </c>
      <c r="O221" s="51">
        <f t="shared" si="264"/>
        <v>1071.5193052376069</v>
      </c>
      <c r="P221" s="49" t="str">
        <f t="shared" si="214"/>
        <v>37.1583961085025</v>
      </c>
      <c r="Q221" s="18" t="str">
        <f t="shared" si="215"/>
        <v>1+5.27704287636435i</v>
      </c>
      <c r="R221" s="18">
        <f t="shared" si="227"/>
        <v>5.3709572255779268</v>
      </c>
      <c r="S221" s="18">
        <f t="shared" si="228"/>
        <v>1.3835169348110765</v>
      </c>
      <c r="T221" s="18" t="str">
        <f t="shared" si="216"/>
        <v>1+0.00605929891952539i</v>
      </c>
      <c r="U221" s="18">
        <f t="shared" si="229"/>
        <v>1.0000183573832013</v>
      </c>
      <c r="V221" s="18">
        <f t="shared" si="230"/>
        <v>6.0592247652301529E-3</v>
      </c>
      <c r="W221" s="32" t="str">
        <f t="shared" si="217"/>
        <v>1-0.0530363982394799i</v>
      </c>
      <c r="X221" s="18">
        <f t="shared" si="231"/>
        <v>1.0014054421353105</v>
      </c>
      <c r="Y221" s="18">
        <f t="shared" si="232"/>
        <v>-5.2986754018363114E-2</v>
      </c>
      <c r="Z221" s="32" t="str">
        <f t="shared" si="218"/>
        <v>0.999971296159463+0.0127694114267035i</v>
      </c>
      <c r="AA221" s="18">
        <f t="shared" si="233"/>
        <v>1.000052824110317</v>
      </c>
      <c r="AB221" s="18">
        <f t="shared" si="234"/>
        <v>1.2769083925507164E-2</v>
      </c>
      <c r="AC221" s="32" t="str">
        <f>IMDIV(IMSUM(COMPLEX(0,2*PI()*O221*Constants!$B$61*Constants!$B$62),COMPLEX(1,0)),IMSUM(COMPLEX(0,2*PI()*O221*Constants!$B$61*Constants!$B$62),COMPLEX(2,0)))</f>
        <v>0.500090638142762+0.00673133390258263i</v>
      </c>
      <c r="AD221" s="18">
        <f t="shared" si="235"/>
        <v>0.50013593873480333</v>
      </c>
      <c r="AE221" s="18">
        <f t="shared" si="236"/>
        <v>1.3459414975578484E-2</v>
      </c>
      <c r="AF221" s="66" t="str">
        <f t="shared" si="237"/>
        <v>0.487075753248684-3.43047470886227i</v>
      </c>
      <c r="AG221" s="64">
        <f t="shared" si="238"/>
        <v>10.793766171526293</v>
      </c>
      <c r="AH221" s="61">
        <f t="shared" si="239"/>
        <v>-81.918877563096231</v>
      </c>
      <c r="AI221" s="50" t="str">
        <f t="shared" si="219"/>
        <v>107.538871525172</v>
      </c>
      <c r="AJ221" s="50" t="str">
        <f t="shared" si="220"/>
        <v>1+5.01662735220448i</v>
      </c>
      <c r="AK221" s="50">
        <f t="shared" si="240"/>
        <v>5.1153250132211676</v>
      </c>
      <c r="AL221" s="50">
        <f t="shared" si="241"/>
        <v>1.3740382420349375</v>
      </c>
      <c r="AM221" s="50" t="str">
        <f t="shared" si="221"/>
        <v>1+0.00605929891952539i</v>
      </c>
      <c r="AN221" s="50">
        <f t="shared" si="242"/>
        <v>1.0000183573832013</v>
      </c>
      <c r="AO221" s="50">
        <f t="shared" si="243"/>
        <v>6.0592247652301529E-3</v>
      </c>
      <c r="AP221" s="50" t="str">
        <f t="shared" si="222"/>
        <v>1-0.0174215346296154i</v>
      </c>
      <c r="AQ221" s="50">
        <f t="shared" si="244"/>
        <v>1.0001517434213925</v>
      </c>
      <c r="AR221" s="50">
        <f t="shared" si="245"/>
        <v>-1.7419772414617184E-2</v>
      </c>
      <c r="AS221" s="59" t="str">
        <f t="shared" si="246"/>
        <v>3.87595983864147-20.666128148841i</v>
      </c>
      <c r="AT221" s="50">
        <f t="shared" si="247"/>
        <v>26.455322216760795</v>
      </c>
      <c r="AU221" s="61">
        <f t="shared" si="248"/>
        <v>-79.377503591444196</v>
      </c>
      <c r="AV221" s="32" t="str">
        <f t="shared" si="223"/>
        <v>-0.0000333333333333333</v>
      </c>
      <c r="AW221" s="32" t="str">
        <f t="shared" si="224"/>
        <v>0.000323162609041354i</v>
      </c>
      <c r="AX221" s="32">
        <f t="shared" si="249"/>
        <v>3.2316260904135402E-4</v>
      </c>
      <c r="AY221" s="32">
        <f t="shared" si="250"/>
        <v>1.5707963267948966</v>
      </c>
      <c r="AZ221" s="32" t="str">
        <f t="shared" si="225"/>
        <v>1+0.131845856119303i</v>
      </c>
      <c r="BA221" s="32">
        <f t="shared" si="251"/>
        <v>1.0086542171506705</v>
      </c>
      <c r="BB221" s="32">
        <f t="shared" si="252"/>
        <v>0.13108975340733925</v>
      </c>
      <c r="BC221" s="32" t="str">
        <f t="shared" si="226"/>
        <v>1+6.32860109372653i</v>
      </c>
      <c r="BD221" s="32">
        <f t="shared" si="253"/>
        <v>6.4071203987061631</v>
      </c>
      <c r="BE221" s="32">
        <f t="shared" si="254"/>
        <v>1.4140792573046916</v>
      </c>
      <c r="BF221" s="59" t="str">
        <f t="shared" si="255"/>
        <v>-0.628257041405993+0.185980334107717i</v>
      </c>
      <c r="BG221" s="50">
        <f t="shared" si="256"/>
        <v>-3.6724356804312173</v>
      </c>
      <c r="BH221" s="61">
        <f t="shared" si="257"/>
        <v>163.50988373290159</v>
      </c>
      <c r="BI221" s="59" t="str">
        <f t="shared" si="258"/>
        <v>0.331992060825664+2.24580640253285i</v>
      </c>
      <c r="BJ221" s="64">
        <f t="shared" si="259"/>
        <v>7.1213304910950628</v>
      </c>
      <c r="BK221" s="61">
        <f t="shared" si="260"/>
        <v>81.591006169805354</v>
      </c>
      <c r="BL221" s="59" t="str">
        <f t="shared" si="211"/>
        <v>1.408394357001+13.7044928338866i</v>
      </c>
      <c r="BM221" s="64">
        <f t="shared" si="261"/>
        <v>22.782886536329585</v>
      </c>
      <c r="BN221" s="61">
        <f t="shared" si="212"/>
        <v>84.132380141457432</v>
      </c>
      <c r="BO221" s="50">
        <f t="shared" si="262"/>
        <v>7.1213304910950628</v>
      </c>
      <c r="BP221" s="61">
        <f t="shared" si="263"/>
        <v>81.591006169805354</v>
      </c>
    </row>
    <row r="222" spans="14:68" x14ac:dyDescent="0.25">
      <c r="N222" s="11">
        <v>4</v>
      </c>
      <c r="O222" s="51">
        <f t="shared" si="264"/>
        <v>1096.4781961431863</v>
      </c>
      <c r="P222" s="49" t="str">
        <f t="shared" si="214"/>
        <v>37.1583961085025</v>
      </c>
      <c r="Q222" s="18" t="str">
        <f t="shared" si="215"/>
        <v>1+5.39996099534871i</v>
      </c>
      <c r="R222" s="18">
        <f t="shared" si="227"/>
        <v>5.4917737345312601</v>
      </c>
      <c r="S222" s="18">
        <f t="shared" si="228"/>
        <v>1.3876842162657121</v>
      </c>
      <c r="T222" s="18" t="str">
        <f t="shared" si="216"/>
        <v>1+0.00620043812248468i</v>
      </c>
      <c r="U222" s="18">
        <f t="shared" si="229"/>
        <v>1.0000192225317026</v>
      </c>
      <c r="V222" s="18">
        <f t="shared" si="230"/>
        <v>6.2003586648082584E-3</v>
      </c>
      <c r="W222" s="32" t="str">
        <f t="shared" si="217"/>
        <v>1-0.0542717746542711i</v>
      </c>
      <c r="X222" s="18">
        <f t="shared" si="231"/>
        <v>1.001471629914759</v>
      </c>
      <c r="Y222" s="18">
        <f t="shared" si="232"/>
        <v>-5.4218584133803857E-2</v>
      </c>
      <c r="Z222" s="32" t="str">
        <f t="shared" si="218"/>
        <v>0.999969943389135+0.0130668492284955i</v>
      </c>
      <c r="AA222" s="18">
        <f t="shared" si="233"/>
        <v>1.0000553135854187</v>
      </c>
      <c r="AB222" s="18">
        <f t="shared" si="234"/>
        <v>1.3066498305583185E-2</v>
      </c>
      <c r="AC222" s="32" t="str">
        <f>IMDIV(IMSUM(COMPLEX(0,2*PI()*O222*Constants!$B$61*Constants!$B$62),COMPLEX(1,0)),IMSUM(COMPLEX(0,2*PI()*O222*Constants!$B$61*Constants!$B$62),COMPLEX(2,0)))</f>
        <v>0.500094908975994+0.00688806796446539i</v>
      </c>
      <c r="AD222" s="18">
        <f t="shared" si="235"/>
        <v>0.50014234320240347</v>
      </c>
      <c r="AE222" s="18">
        <f t="shared" si="236"/>
        <v>1.3772650575324744E-2</v>
      </c>
      <c r="AF222" s="66" t="str">
        <f t="shared" si="237"/>
        <v>0.458801831445188-3.35771633467272i</v>
      </c>
      <c r="AG222" s="64">
        <f t="shared" si="238"/>
        <v>10.601218523899638</v>
      </c>
      <c r="AH222" s="61">
        <f t="shared" si="239"/>
        <v>-82.219231003275951</v>
      </c>
      <c r="AI222" s="50" t="str">
        <f t="shared" si="219"/>
        <v>107.538871525172</v>
      </c>
      <c r="AJ222" s="50" t="str">
        <f t="shared" si="220"/>
        <v>1+5.1334796143948i</v>
      </c>
      <c r="AK222" s="50">
        <f t="shared" si="240"/>
        <v>5.2299725574238902</v>
      </c>
      <c r="AL222" s="50">
        <f t="shared" si="241"/>
        <v>1.3784060733997476</v>
      </c>
      <c r="AM222" s="50" t="str">
        <f t="shared" si="221"/>
        <v>1+0.00620043812248468i</v>
      </c>
      <c r="AN222" s="50">
        <f t="shared" si="242"/>
        <v>1.0000192225317026</v>
      </c>
      <c r="AO222" s="50">
        <f t="shared" si="243"/>
        <v>6.2003586648082584E-3</v>
      </c>
      <c r="AP222" s="50" t="str">
        <f t="shared" si="222"/>
        <v>1-0.0178273343012619i</v>
      </c>
      <c r="AQ222" s="50">
        <f t="shared" si="244"/>
        <v>1.0001588943004451</v>
      </c>
      <c r="AR222" s="50">
        <f t="shared" si="245"/>
        <v>-1.7825446070072765E-2</v>
      </c>
      <c r="AS222" s="59" t="str">
        <f t="shared" si="246"/>
        <v>3.69734865720901-20.2306072534985i</v>
      </c>
      <c r="AT222" s="50">
        <f t="shared" si="247"/>
        <v>26.262868287465764</v>
      </c>
      <c r="AU222" s="61">
        <f t="shared" si="248"/>
        <v>-79.64291890579787</v>
      </c>
      <c r="AV222" s="32" t="str">
        <f t="shared" si="223"/>
        <v>-0.0000333333333333333</v>
      </c>
      <c r="AW222" s="32" t="str">
        <f t="shared" si="224"/>
        <v>0.000330690033199183i</v>
      </c>
      <c r="AX222" s="32">
        <f t="shared" si="249"/>
        <v>3.3069003319918301E-4</v>
      </c>
      <c r="AY222" s="32">
        <f t="shared" si="250"/>
        <v>1.5707963267948966</v>
      </c>
      <c r="AZ222" s="32" t="str">
        <f t="shared" si="225"/>
        <v>1+0.134916940628139i</v>
      </c>
      <c r="BA222" s="32">
        <f t="shared" si="251"/>
        <v>1.0090602464017977</v>
      </c>
      <c r="BB222" s="32">
        <f t="shared" si="252"/>
        <v>0.13410715434505197</v>
      </c>
      <c r="BC222" s="32" t="str">
        <f t="shared" si="226"/>
        <v>1+6.47601315015068i</v>
      </c>
      <c r="BD222" s="32">
        <f t="shared" si="253"/>
        <v>6.5527663105687308</v>
      </c>
      <c r="BE222" s="32">
        <f t="shared" si="254"/>
        <v>1.4175903826342156</v>
      </c>
      <c r="BF222" s="59" t="str">
        <f t="shared" si="255"/>
        <v>-0.627751542522673+0.185493646228477i</v>
      </c>
      <c r="BG222" s="50">
        <f t="shared" si="256"/>
        <v>-3.6806955420387033</v>
      </c>
      <c r="BH222" s="61">
        <f t="shared" si="257"/>
        <v>163.53817205679502</v>
      </c>
      <c r="BI222" s="59" t="str">
        <f t="shared" si="258"/>
        <v>0.334821488517416+2.19291643305545i</v>
      </c>
      <c r="BJ222" s="64">
        <f t="shared" si="259"/>
        <v>6.9205229818609491</v>
      </c>
      <c r="BK222" s="61">
        <f t="shared" si="260"/>
        <v>81.318941053519097</v>
      </c>
      <c r="BL222" s="59" t="str">
        <f t="shared" si="211"/>
        <v>1.43163278206062+13.3856295933577i</v>
      </c>
      <c r="BM222" s="64">
        <f t="shared" si="261"/>
        <v>22.582172745427052</v>
      </c>
      <c r="BN222" s="61">
        <f t="shared" si="212"/>
        <v>83.895253150997164</v>
      </c>
      <c r="BO222" s="50">
        <f t="shared" si="262"/>
        <v>6.9205229818609491</v>
      </c>
      <c r="BP222" s="61">
        <f t="shared" si="263"/>
        <v>81.318941053519097</v>
      </c>
    </row>
    <row r="223" spans="14:68" x14ac:dyDescent="0.25">
      <c r="N223" s="11">
        <v>5</v>
      </c>
      <c r="O223" s="51">
        <f t="shared" si="264"/>
        <v>1122.0184543019636</v>
      </c>
      <c r="P223" s="49" t="str">
        <f t="shared" si="214"/>
        <v>37.1583961085025</v>
      </c>
      <c r="Q223" s="18" t="str">
        <f t="shared" si="215"/>
        <v>1+5.52574224512974i</v>
      </c>
      <c r="R223" s="18">
        <f t="shared" si="227"/>
        <v>5.6154988522491438</v>
      </c>
      <c r="S223" s="18">
        <f t="shared" si="228"/>
        <v>1.3917628633763095</v>
      </c>
      <c r="T223" s="18" t="str">
        <f t="shared" si="216"/>
        <v>1+0.00634486487980901i</v>
      </c>
      <c r="U223" s="18">
        <f t="shared" si="229"/>
        <v>1.0000201284525942</v>
      </c>
      <c r="V223" s="18">
        <f t="shared" si="230"/>
        <v>6.3447797394673294E-3</v>
      </c>
      <c r="W223" s="32" t="str">
        <f t="shared" si="217"/>
        <v>1-0.0555359266823558i</v>
      </c>
      <c r="X223" s="18">
        <f t="shared" si="231"/>
        <v>1.0015409323399957</v>
      </c>
      <c r="Y223" s="18">
        <f t="shared" si="232"/>
        <v>-5.5478936747778852E-2</v>
      </c>
      <c r="Z223" s="32" t="str">
        <f t="shared" si="218"/>
        <v>0.999968526864705+0.0133712152467086i</v>
      </c>
      <c r="AA223" s="18">
        <f t="shared" si="233"/>
        <v>1.0000579203811857</v>
      </c>
      <c r="AB223" s="18">
        <f t="shared" si="234"/>
        <v>1.3370839227090399E-2</v>
      </c>
      <c r="AC223" s="32" t="str">
        <f>IMDIV(IMSUM(COMPLEX(0,2*PI()*O223*Constants!$B$61*Constants!$B$62),COMPLEX(1,0)),IMSUM(COMPLEX(0,2*PI()*O223*Constants!$B$61*Constants!$B$62),COMPLEX(2,0)))</f>
        <v>0.500099381009182+0.00704844862406583i</v>
      </c>
      <c r="AD223" s="18">
        <f t="shared" si="235"/>
        <v>0.50014904929807991</v>
      </c>
      <c r="AE223" s="18">
        <f t="shared" si="236"/>
        <v>1.4093162754708037E-2</v>
      </c>
      <c r="AF223" s="66" t="str">
        <f t="shared" si="237"/>
        <v>0.431717607928087-3.28628181507823i</v>
      </c>
      <c r="AG223" s="64">
        <f t="shared" si="238"/>
        <v>10.408407118915946</v>
      </c>
      <c r="AH223" s="61">
        <f t="shared" si="239"/>
        <v>-82.515931891439024</v>
      </c>
      <c r="AI223" s="50" t="str">
        <f t="shared" si="219"/>
        <v>107.538871525172</v>
      </c>
      <c r="AJ223" s="50" t="str">
        <f t="shared" si="220"/>
        <v>1+5.2530537154263i</v>
      </c>
      <c r="AK223" s="50">
        <f t="shared" si="240"/>
        <v>5.347389394569471</v>
      </c>
      <c r="AL223" s="50">
        <f t="shared" si="241"/>
        <v>1.3826816749637065</v>
      </c>
      <c r="AM223" s="50" t="str">
        <f t="shared" si="221"/>
        <v>1+0.00634486487980901i</v>
      </c>
      <c r="AN223" s="50">
        <f t="shared" si="242"/>
        <v>1.0000201284525942</v>
      </c>
      <c r="AO223" s="50">
        <f t="shared" si="243"/>
        <v>6.3447797394673294E-3</v>
      </c>
      <c r="AP223" s="50" t="str">
        <f t="shared" si="222"/>
        <v>1-0.0182425862615276i</v>
      </c>
      <c r="AQ223" s="50">
        <f t="shared" si="244"/>
        <v>1.0001663821352471</v>
      </c>
      <c r="AR223" s="50">
        <f t="shared" si="245"/>
        <v>-1.8240563003533612E-2</v>
      </c>
      <c r="AS223" s="59" t="str">
        <f t="shared" si="246"/>
        <v>3.52620079140743-19.8027896997529i</v>
      </c>
      <c r="AT223" s="50">
        <f t="shared" si="247"/>
        <v>26.070093177319102</v>
      </c>
      <c r="AU223" s="61">
        <f t="shared" si="248"/>
        <v>-79.903402560533252</v>
      </c>
      <c r="AV223" s="32" t="str">
        <f t="shared" si="223"/>
        <v>-0.0000333333333333333</v>
      </c>
      <c r="AW223" s="32" t="str">
        <f t="shared" si="224"/>
        <v>0.000338392793589814i</v>
      </c>
      <c r="AX223" s="32">
        <f t="shared" si="249"/>
        <v>3.38392793589814E-4</v>
      </c>
      <c r="AY223" s="32">
        <f t="shared" si="250"/>
        <v>1.5707963267948966</v>
      </c>
      <c r="AZ223" s="32" t="str">
        <f t="shared" si="225"/>
        <v>1+0.138059559884733i</v>
      </c>
      <c r="BA223" s="32">
        <f t="shared" si="251"/>
        <v>1.0094852361850402</v>
      </c>
      <c r="BB223" s="32">
        <f t="shared" si="252"/>
        <v>0.13719229797660107</v>
      </c>
      <c r="BC223" s="32" t="str">
        <f t="shared" si="226"/>
        <v>1+6.6268588744672i</v>
      </c>
      <c r="BD223" s="32">
        <f t="shared" si="253"/>
        <v>6.7018847007468487</v>
      </c>
      <c r="BE223" s="32">
        <f t="shared" si="254"/>
        <v>1.4210252678334774</v>
      </c>
      <c r="BF223" s="59" t="str">
        <f t="shared" si="255"/>
        <v>-0.627223091339803+0.185098999731077i</v>
      </c>
      <c r="BG223" s="50">
        <f t="shared" si="256"/>
        <v>-3.688907604462095</v>
      </c>
      <c r="BH223" s="61">
        <f t="shared" si="257"/>
        <v>163.55821077254529</v>
      </c>
      <c r="BI223" s="59" t="str">
        <f t="shared" si="258"/>
        <v>0.337504224174929+2.14114233646093i</v>
      </c>
      <c r="BJ223" s="64">
        <f t="shared" si="259"/>
        <v>6.7194995144538563</v>
      </c>
      <c r="BK223" s="61">
        <f t="shared" si="260"/>
        <v>81.042278881106299</v>
      </c>
      <c r="BL223" s="59" t="str">
        <f t="shared" si="211"/>
        <v>1.45376200423771+13.0734632119715i</v>
      </c>
      <c r="BM223" s="64">
        <f t="shared" si="261"/>
        <v>22.381185572857024</v>
      </c>
      <c r="BN223" s="61">
        <f t="shared" si="212"/>
        <v>83.654808212012071</v>
      </c>
      <c r="BO223" s="50">
        <f t="shared" si="262"/>
        <v>6.7194995144538563</v>
      </c>
      <c r="BP223" s="61">
        <f t="shared" si="263"/>
        <v>81.042278881106299</v>
      </c>
    </row>
    <row r="224" spans="14:68" x14ac:dyDescent="0.25">
      <c r="N224" s="11">
        <v>6</v>
      </c>
      <c r="O224" s="51">
        <f t="shared" si="264"/>
        <v>1148.1536214968839</v>
      </c>
      <c r="P224" s="49" t="str">
        <f t="shared" si="214"/>
        <v>37.1583961085025</v>
      </c>
      <c r="Q224" s="18" t="str">
        <f t="shared" si="215"/>
        <v>1+5.65445331659099i</v>
      </c>
      <c r="R224" s="18">
        <f t="shared" si="227"/>
        <v>5.7421983864637465</v>
      </c>
      <c r="S224" s="18">
        <f t="shared" si="228"/>
        <v>1.3957544956307242</v>
      </c>
      <c r="T224" s="18" t="str">
        <f t="shared" si="216"/>
        <v>1+0.00649265576847683i</v>
      </c>
      <c r="U224" s="18">
        <f t="shared" si="229"/>
        <v>1.0000210770673426</v>
      </c>
      <c r="V224" s="18">
        <f t="shared" si="230"/>
        <v>6.4925645390609132E-3</v>
      </c>
      <c r="W224" s="32" t="str">
        <f t="shared" si="217"/>
        <v>1-0.0568295245938725i</v>
      </c>
      <c r="X224" s="18">
        <f t="shared" si="231"/>
        <v>1.0016134957485177</v>
      </c>
      <c r="Y224" s="18">
        <f t="shared" si="232"/>
        <v>-5.676846409040557E-2</v>
      </c>
      <c r="Z224" s="32" t="str">
        <f t="shared" si="218"/>
        <v>0.999967043581536+0.0136826708602345i</v>
      </c>
      <c r="AA224" s="18">
        <f t="shared" si="233"/>
        <v>1.0000606500263207</v>
      </c>
      <c r="AB224" s="18">
        <f t="shared" si="234"/>
        <v>1.3682267949140398E-2</v>
      </c>
      <c r="AC224" s="32" t="str">
        <f>IMDIV(IMSUM(COMPLEX(0,2*PI()*O224*Constants!$B$61*Constants!$B$62),COMPLEX(1,0)),IMSUM(COMPLEX(0,2*PI()*O224*Constants!$B$61*Constants!$B$62),COMPLEX(2,0)))</f>
        <v>0.500104063717046+0.0072125605207681i</v>
      </c>
      <c r="AD224" s="18">
        <f t="shared" si="235"/>
        <v>0.50015607121734407</v>
      </c>
      <c r="AE224" s="18">
        <f t="shared" si="236"/>
        <v>1.4421119605872498E-2</v>
      </c>
      <c r="AF224" s="66" t="str">
        <f t="shared" si="237"/>
        <v>0.405776456163162-3.21616182608333i</v>
      </c>
      <c r="AG224" s="64">
        <f t="shared" si="238"/>
        <v>10.21534588183545</v>
      </c>
      <c r="AH224" s="61">
        <f t="shared" si="239"/>
        <v>-82.809105609950137</v>
      </c>
      <c r="AI224" s="50" t="str">
        <f t="shared" si="219"/>
        <v>107.538871525172</v>
      </c>
      <c r="AJ224" s="50" t="str">
        <f t="shared" si="220"/>
        <v>1+5.37541305507012i</v>
      </c>
      <c r="AK224" s="50">
        <f t="shared" si="240"/>
        <v>5.4676380195307637</v>
      </c>
      <c r="AL224" s="50">
        <f t="shared" si="241"/>
        <v>1.3868666881150626</v>
      </c>
      <c r="AM224" s="50" t="str">
        <f t="shared" si="221"/>
        <v>1+0.00649265576847683i</v>
      </c>
      <c r="AN224" s="50">
        <f t="shared" si="242"/>
        <v>1.0000210770673426</v>
      </c>
      <c r="AO224" s="50">
        <f t="shared" si="243"/>
        <v>6.4925645390609132E-3</v>
      </c>
      <c r="AP224" s="50" t="str">
        <f t="shared" si="222"/>
        <v>1-0.0186675106824984i</v>
      </c>
      <c r="AQ224" s="50">
        <f t="shared" si="244"/>
        <v>1.0001742228007484</v>
      </c>
      <c r="AR224" s="50">
        <f t="shared" si="245"/>
        <v>-1.8665342742893887E-2</v>
      </c>
      <c r="AS224" s="59" t="str">
        <f t="shared" si="246"/>
        <v>3.36222837433712-19.3826364559755i</v>
      </c>
      <c r="AT224" s="50">
        <f t="shared" si="247"/>
        <v>25.87701062122904</v>
      </c>
      <c r="AU224" s="61">
        <f t="shared" si="248"/>
        <v>-80.159056792307794</v>
      </c>
      <c r="AV224" s="32" t="str">
        <f t="shared" si="223"/>
        <v>-0.0000333333333333333</v>
      </c>
      <c r="AW224" s="32" t="str">
        <f t="shared" si="224"/>
        <v>0.000346274974318764i</v>
      </c>
      <c r="AX224" s="32">
        <f t="shared" si="249"/>
        <v>3.46274974318764E-4</v>
      </c>
      <c r="AY224" s="32">
        <f t="shared" si="250"/>
        <v>1.5707963267948966</v>
      </c>
      <c r="AZ224" s="32" t="str">
        <f t="shared" si="225"/>
        <v>1+0.141275380147413i</v>
      </c>
      <c r="BA224" s="32">
        <f t="shared" si="251"/>
        <v>1.0099300634379571</v>
      </c>
      <c r="BB224" s="32">
        <f t="shared" si="252"/>
        <v>0.14034658504428432</v>
      </c>
      <c r="BC224" s="32" t="str">
        <f t="shared" si="226"/>
        <v>1+6.78121824707581i</v>
      </c>
      <c r="BD224" s="32">
        <f t="shared" si="253"/>
        <v>6.8545547568367944</v>
      </c>
      <c r="BE224" s="32">
        <f t="shared" si="254"/>
        <v>1.4243854097467641</v>
      </c>
      <c r="BF224" s="59" t="str">
        <f t="shared" si="255"/>
        <v>-0.626670687781943+0.184795751167643i</v>
      </c>
      <c r="BG224" s="50">
        <f t="shared" si="256"/>
        <v>-3.6970882152759916</v>
      </c>
      <c r="BH224" s="61">
        <f t="shared" si="257"/>
        <v>163.5700053863907</v>
      </c>
      <c r="BI224" s="59" t="str">
        <f t="shared" si="258"/>
        <v>0.340044829658279+2.09046010859249i</v>
      </c>
      <c r="BJ224" s="64">
        <f t="shared" si="259"/>
        <v>6.5182576665594745</v>
      </c>
      <c r="BK224" s="61">
        <f t="shared" si="260"/>
        <v>80.760899776440596</v>
      </c>
      <c r="BL224" s="59" t="str">
        <f t="shared" si="211"/>
        <v>1.47481889566553+12.7678556369263i</v>
      </c>
      <c r="BM224" s="64">
        <f t="shared" si="261"/>
        <v>22.17992240595304</v>
      </c>
      <c r="BN224" s="61">
        <f t="shared" si="212"/>
        <v>83.410948594082882</v>
      </c>
      <c r="BO224" s="50">
        <f t="shared" si="262"/>
        <v>6.5182576665594745</v>
      </c>
      <c r="BP224" s="61">
        <f t="shared" si="263"/>
        <v>80.760899776440596</v>
      </c>
    </row>
    <row r="225" spans="14:68" x14ac:dyDescent="0.25">
      <c r="N225" s="11">
        <v>7</v>
      </c>
      <c r="O225" s="51">
        <f t="shared" si="264"/>
        <v>1174.8975549395295</v>
      </c>
      <c r="P225" s="49" t="str">
        <f t="shared" si="214"/>
        <v>37.1583961085025</v>
      </c>
      <c r="Q225" s="18" t="str">
        <f t="shared" si="215"/>
        <v>1+5.78616245404622i</v>
      </c>
      <c r="R225" s="18">
        <f t="shared" si="227"/>
        <v>5.8719397088708414</v>
      </c>
      <c r="S225" s="18">
        <f t="shared" si="228"/>
        <v>1.3996607203999747</v>
      </c>
      <c r="T225" s="18" t="str">
        <f t="shared" si="216"/>
        <v>1+0.00664388914917355i</v>
      </c>
      <c r="U225" s="18">
        <f t="shared" si="229"/>
        <v>1.0000220703879623</v>
      </c>
      <c r="V225" s="18">
        <f t="shared" si="230"/>
        <v>6.64379139520971E-3</v>
      </c>
      <c r="W225" s="32" t="str">
        <f t="shared" si="217"/>
        <v>1-0.0581532542715564i</v>
      </c>
      <c r="X225" s="18">
        <f t="shared" si="231"/>
        <v>1.0016894733311179</v>
      </c>
      <c r="Y225" s="18">
        <f t="shared" si="232"/>
        <v>-5.8087832721795352E-2</v>
      </c>
      <c r="Z225" s="32" t="str">
        <f t="shared" si="218"/>
        <v>0.999965490393385+0.014001381206962i</v>
      </c>
      <c r="AA225" s="18">
        <f t="shared" si="233"/>
        <v>1.00006350831004</v>
      </c>
      <c r="AB225" s="18">
        <f t="shared" si="234"/>
        <v>1.4000949481277024E-2</v>
      </c>
      <c r="AC225" s="32" t="str">
        <f>IMDIV(IMSUM(COMPLEX(0,2*PI()*O225*Constants!$B$61*Constants!$B$62),COMPLEX(1,0)),IMSUM(COMPLEX(0,2*PI()*O225*Constants!$B$61*Constants!$B$62),COMPLEX(2,0)))</f>
        <v>0.500108967020105+0.00738049024396506i</v>
      </c>
      <c r="AD225" s="18">
        <f t="shared" si="235"/>
        <v>0.50016342382281176</v>
      </c>
      <c r="AE225" s="18">
        <f t="shared" si="236"/>
        <v>1.4756693036323614E-2</v>
      </c>
      <c r="AF225" s="66" t="str">
        <f t="shared" si="237"/>
        <v>0.380933279845025-3.14734603308033i</v>
      </c>
      <c r="AG225" s="64">
        <f t="shared" si="238"/>
        <v>10.022048317474786</v>
      </c>
      <c r="AH225" s="61">
        <f t="shared" si="239"/>
        <v>-83.098877562170472</v>
      </c>
      <c r="AI225" s="50" t="str">
        <f t="shared" si="219"/>
        <v>107.538871525172</v>
      </c>
      <c r="AJ225" s="50" t="str">
        <f t="shared" si="220"/>
        <v>1+5.50062250986772i</v>
      </c>
      <c r="AK225" s="50">
        <f t="shared" si="240"/>
        <v>5.5907824135860853</v>
      </c>
      <c r="AL225" s="50">
        <f t="shared" si="241"/>
        <v>1.3909627451359174</v>
      </c>
      <c r="AM225" s="50" t="str">
        <f t="shared" si="221"/>
        <v>1+0.00664388914917355i</v>
      </c>
      <c r="AN225" s="50">
        <f t="shared" si="242"/>
        <v>1.0000220703879623</v>
      </c>
      <c r="AO225" s="50">
        <f t="shared" si="243"/>
        <v>6.64379139520971E-3</v>
      </c>
      <c r="AP225" s="50" t="str">
        <f t="shared" si="222"/>
        <v>1-0.0191023328647267i</v>
      </c>
      <c r="AQ225" s="50">
        <f t="shared" si="244"/>
        <v>1.0001824329195523</v>
      </c>
      <c r="AR225" s="50">
        <f t="shared" si="245"/>
        <v>-1.9100009898471503E-2</v>
      </c>
      <c r="AS225" s="59" t="str">
        <f t="shared" si="246"/>
        <v>3.20515258943606-18.9701014591433i</v>
      </c>
      <c r="AT225" s="50">
        <f t="shared" si="247"/>
        <v>25.683633835622146</v>
      </c>
      <c r="AU225" s="61">
        <f t="shared" si="248"/>
        <v>-80.409983505148929</v>
      </c>
      <c r="AV225" s="32" t="str">
        <f t="shared" si="223"/>
        <v>-0.0000333333333333333</v>
      </c>
      <c r="AW225" s="32" t="str">
        <f t="shared" si="224"/>
        <v>0.000354340754622589i</v>
      </c>
      <c r="AX225" s="32">
        <f t="shared" si="249"/>
        <v>3.54340754622589E-4</v>
      </c>
      <c r="AY225" s="32">
        <f t="shared" si="250"/>
        <v>1.5707963267948966</v>
      </c>
      <c r="AZ225" s="32" t="str">
        <f t="shared" si="225"/>
        <v>1+0.144566106486647i</v>
      </c>
      <c r="BA225" s="32">
        <f t="shared" si="251"/>
        <v>1.0103956448563645</v>
      </c>
      <c r="BB225" s="32">
        <f t="shared" si="252"/>
        <v>0.14357143679180412</v>
      </c>
      <c r="BC225" s="32" t="str">
        <f t="shared" si="226"/>
        <v>1+6.93917311135905i</v>
      </c>
      <c r="BD225" s="32">
        <f t="shared" si="253"/>
        <v>7.0108575416569723</v>
      </c>
      <c r="BE225" s="32">
        <f t="shared" si="254"/>
        <v>1.4276722863056794</v>
      </c>
      <c r="BF225" s="59" t="str">
        <f t="shared" si="255"/>
        <v>-0.626093292169596+0.184583276514036i</v>
      </c>
      <c r="BG225" s="50">
        <f t="shared" si="256"/>
        <v>-3.7052536714190647</v>
      </c>
      <c r="BH225" s="61">
        <f t="shared" si="257"/>
        <v>163.57355914630872</v>
      </c>
      <c r="BI225" s="59" t="str">
        <f t="shared" si="258"/>
        <v>0.342447671834287+2.04084615237521i</v>
      </c>
      <c r="BJ225" s="64">
        <f t="shared" si="259"/>
        <v>6.3167946460557012</v>
      </c>
      <c r="BK225" s="61">
        <f t="shared" si="260"/>
        <v>80.474681584138253</v>
      </c>
      <c r="BL225" s="59" t="str">
        <f t="shared" si="211"/>
        <v>1.49483894650644+12.4686708420318i</v>
      </c>
      <c r="BM225" s="64">
        <f t="shared" si="261"/>
        <v>21.978380164203053</v>
      </c>
      <c r="BN225" s="61">
        <f t="shared" si="212"/>
        <v>83.163575641159781</v>
      </c>
      <c r="BO225" s="50">
        <f t="shared" si="262"/>
        <v>6.3167946460557012</v>
      </c>
      <c r="BP225" s="61">
        <f t="shared" si="263"/>
        <v>80.474681584138253</v>
      </c>
    </row>
    <row r="226" spans="14:68" x14ac:dyDescent="0.25">
      <c r="N226" s="11">
        <v>8</v>
      </c>
      <c r="O226" s="51">
        <f t="shared" si="264"/>
        <v>1202.2644346174138</v>
      </c>
      <c r="P226" s="49" t="str">
        <f t="shared" si="214"/>
        <v>37.1583961085025</v>
      </c>
      <c r="Q226" s="18" t="str">
        <f t="shared" si="215"/>
        <v>1+5.92093949142352i</v>
      </c>
      <c r="R226" s="18">
        <f t="shared" si="227"/>
        <v>6.0047917916526137</v>
      </c>
      <c r="S226" s="18">
        <f t="shared" si="228"/>
        <v>1.4034831317506917</v>
      </c>
      <c r="T226" s="18" t="str">
        <f t="shared" si="216"/>
        <v>1+0.00679864520783945i</v>
      </c>
      <c r="U226" s="18">
        <f t="shared" si="229"/>
        <v>1.0000231105212829</v>
      </c>
      <c r="V226" s="18">
        <f t="shared" si="230"/>
        <v>6.7985404627107686E-3</v>
      </c>
      <c r="W226" s="32" t="str">
        <f t="shared" si="217"/>
        <v>1-0.0595078175744046i</v>
      </c>
      <c r="X226" s="18">
        <f t="shared" si="231"/>
        <v>1.0017690254507117</v>
      </c>
      <c r="Y226" s="18">
        <f t="shared" si="232"/>
        <v>-5.9437723804911038E-2</v>
      </c>
      <c r="Z226" s="32" t="str">
        <f t="shared" si="218"/>
        <v>0.999963864005731+0.0143275152713357i</v>
      </c>
      <c r="AA226" s="18">
        <f t="shared" si="233"/>
        <v>1.0000665012943502</v>
      </c>
      <c r="AB226" s="18">
        <f t="shared" si="234"/>
        <v>1.4327052670422686E-2</v>
      </c>
      <c r="AC226" s="32" t="str">
        <f>IMDIV(IMSUM(COMPLEX(0,2*PI()*O226*Constants!$B$61*Constants!$B$62),COMPLEX(1,0)),IMSUM(COMPLEX(0,2*PI()*O226*Constants!$B$61*Constants!$B$62),COMPLEX(2,0)))</f>
        <v>0.500114101305624+0.00755232637694451i</v>
      </c>
      <c r="AD226" s="18">
        <f t="shared" si="235"/>
        <v>0.50017112267546571</v>
      </c>
      <c r="AE226" s="18">
        <f t="shared" si="236"/>
        <v>1.5100058850671618E-2</v>
      </c>
      <c r="AF226" s="66" t="str">
        <f t="shared" si="237"/>
        <v>0.357144488828346-3.07982317922211i</v>
      </c>
      <c r="AG226" s="64">
        <f t="shared" si="238"/>
        <v>9.8285275295828143</v>
      </c>
      <c r="AH226" s="61">
        <f t="shared" si="239"/>
        <v>-83.385373117975519</v>
      </c>
      <c r="AI226" s="50" t="str">
        <f t="shared" si="219"/>
        <v>107.538871525172</v>
      </c>
      <c r="AJ226" s="50" t="str">
        <f t="shared" si="220"/>
        <v>1+5.62874846752942i</v>
      </c>
      <c r="AK226" s="50">
        <f t="shared" si="240"/>
        <v>5.7168880792538515</v>
      </c>
      <c r="AL226" s="50">
        <f t="shared" si="241"/>
        <v>1.3949714677614589</v>
      </c>
      <c r="AM226" s="50" t="str">
        <f t="shared" si="221"/>
        <v>1+0.00679864520783945i</v>
      </c>
      <c r="AN226" s="50">
        <f t="shared" si="242"/>
        <v>1.0000231105212829</v>
      </c>
      <c r="AO226" s="50">
        <f t="shared" si="243"/>
        <v>6.7985404627107686E-3</v>
      </c>
      <c r="AP226" s="50" t="str">
        <f t="shared" si="222"/>
        <v>1-0.0195472833566892i</v>
      </c>
      <c r="AQ226" s="50">
        <f t="shared" si="244"/>
        <v>1.0001910298971026</v>
      </c>
      <c r="AR226" s="50">
        <f t="shared" si="245"/>
        <v>-1.9544794279176575E-2</v>
      </c>
      <c r="AS226" s="59" t="str">
        <f t="shared" si="246"/>
        <v>3.05470356776703-18.5651321858354i</v>
      </c>
      <c r="AT226" s="50">
        <f t="shared" si="247"/>
        <v>25.489975535485684</v>
      </c>
      <c r="AU226" s="61">
        <f t="shared" si="248"/>
        <v>-80.656284192187385</v>
      </c>
      <c r="AV226" s="32" t="str">
        <f t="shared" si="223"/>
        <v>-0.0000333333333333333</v>
      </c>
      <c r="AW226" s="32" t="str">
        <f t="shared" si="224"/>
        <v>0.00036259441108477i</v>
      </c>
      <c r="AX226" s="32">
        <f t="shared" si="249"/>
        <v>3.6259441108477E-4</v>
      </c>
      <c r="AY226" s="32">
        <f t="shared" si="250"/>
        <v>1.5707963267948966</v>
      </c>
      <c r="AZ226" s="32" t="str">
        <f t="shared" si="225"/>
        <v>1+0.147933483689099i</v>
      </c>
      <c r="BA226" s="32">
        <f t="shared" si="251"/>
        <v>1.0108829386216749</v>
      </c>
      <c r="BB226" s="32">
        <f t="shared" si="252"/>
        <v>0.14686829463894824</v>
      </c>
      <c r="BC226" s="32" t="str">
        <f t="shared" si="226"/>
        <v>1+7.10080721707677i</v>
      </c>
      <c r="BD226" s="32">
        <f t="shared" si="253"/>
        <v>7.1708760367258852</v>
      </c>
      <c r="BE226" s="32">
        <f t="shared" si="254"/>
        <v>1.4308873560281572</v>
      </c>
      <c r="BF226" s="59" t="str">
        <f t="shared" si="255"/>
        <v>-0.625489824029353+0.184460968997233i</v>
      </c>
      <c r="BG226" s="50">
        <f t="shared" si="256"/>
        <v>-3.7134202454110401</v>
      </c>
      <c r="BH226" s="61">
        <f t="shared" si="257"/>
        <v>163.56887303195111</v>
      </c>
      <c r="BI226" s="59" t="str">
        <f t="shared" si="258"/>
        <v>0.344716924509154+1.99227727689446i</v>
      </c>
      <c r="BJ226" s="64">
        <f t="shared" si="259"/>
        <v>6.1151072841717804</v>
      </c>
      <c r="BK226" s="61">
        <f t="shared" si="260"/>
        <v>80.183499913975595</v>
      </c>
      <c r="BL226" s="59" t="str">
        <f t="shared" si="211"/>
        <v>1.51385627549648+12.1757748441095i</v>
      </c>
      <c r="BM226" s="64">
        <f t="shared" si="261"/>
        <v>21.776555290074665</v>
      </c>
      <c r="BN226" s="61">
        <f t="shared" si="212"/>
        <v>82.912588839763728</v>
      </c>
      <c r="BO226" s="50">
        <f t="shared" si="262"/>
        <v>6.1151072841717804</v>
      </c>
      <c r="BP226" s="61">
        <f t="shared" si="263"/>
        <v>80.183499913975595</v>
      </c>
    </row>
    <row r="227" spans="14:68" x14ac:dyDescent="0.25">
      <c r="N227" s="11">
        <v>9</v>
      </c>
      <c r="O227" s="51">
        <f t="shared" si="264"/>
        <v>1230.2687708123824</v>
      </c>
      <c r="P227" s="49" t="str">
        <f t="shared" si="214"/>
        <v>37.1583961085025</v>
      </c>
      <c r="Q227" s="18" t="str">
        <f t="shared" si="215"/>
        <v>1+6.05885588929205i</v>
      </c>
      <c r="R227" s="18">
        <f t="shared" si="227"/>
        <v>6.1408252448029295</v>
      </c>
      <c r="S227" s="18">
        <f t="shared" si="228"/>
        <v>1.4072233093631803</v>
      </c>
      <c r="T227" s="18" t="str">
        <f t="shared" si="216"/>
        <v>1+0.00695700599818523i</v>
      </c>
      <c r="U227" s="18">
        <f t="shared" si="229"/>
        <v>1.0000241996734174</v>
      </c>
      <c r="V227" s="18">
        <f t="shared" si="230"/>
        <v>6.9568937619044072E-3</v>
      </c>
      <c r="W227" s="32" t="str">
        <f t="shared" si="217"/>
        <v>1-0.0608939327098097i</v>
      </c>
      <c r="X227" s="18">
        <f t="shared" si="231"/>
        <v>1.0018523199757869</v>
      </c>
      <c r="Y227" s="18">
        <f t="shared" si="232"/>
        <v>-6.0818833380510369E-2</v>
      </c>
      <c r="Z227" s="32" t="str">
        <f t="shared" si="218"/>
        <v>0.999962160968789+0.0146612459739533i</v>
      </c>
      <c r="AA227" s="18">
        <f t="shared" si="233"/>
        <v>1.0000696353269001</v>
      </c>
      <c r="AB227" s="18">
        <f t="shared" si="234"/>
        <v>1.4660750289819544E-2</v>
      </c>
      <c r="AC227" s="32" t="str">
        <f>IMDIV(IMSUM(COMPLEX(0,2*PI()*O227*Constants!$B$61*Constants!$B$62),COMPLEX(1,0)),IMSUM(COMPLEX(0,2*PI()*O227*Constants!$B$61*Constants!$B$62),COMPLEX(2,0)))</f>
        <v>0.500119477449526+0.00772815954168804i</v>
      </c>
      <c r="AD227" s="18">
        <f t="shared" si="235"/>
        <v>0.50017918406735884</v>
      </c>
      <c r="AE227" s="18">
        <f t="shared" si="236"/>
        <v>1.5451396833772403E-2</v>
      </c>
      <c r="AF227" s="66" t="str">
        <f t="shared" si="237"/>
        <v>0.334367972814066-3.01358116902788i</v>
      </c>
      <c r="AG227" s="64">
        <f t="shared" si="238"/>
        <v>9.634796240089841</v>
      </c>
      <c r="AH227" s="61">
        <f t="shared" si="239"/>
        <v>-83.668717565422313</v>
      </c>
      <c r="AI227" s="50" t="str">
        <f t="shared" si="219"/>
        <v>107.538871525172</v>
      </c>
      <c r="AJ227" s="50" t="str">
        <f t="shared" si="220"/>
        <v>1+5.75985886213389i</v>
      </c>
      <c r="AK227" s="50">
        <f t="shared" si="240"/>
        <v>5.8460220758822246</v>
      </c>
      <c r="AL227" s="50">
        <f t="shared" si="241"/>
        <v>1.3988944658580562</v>
      </c>
      <c r="AM227" s="50" t="str">
        <f t="shared" si="221"/>
        <v>1+0.00695700599818523i</v>
      </c>
      <c r="AN227" s="50">
        <f t="shared" si="242"/>
        <v>1.0000241996734174</v>
      </c>
      <c r="AO227" s="50">
        <f t="shared" si="243"/>
        <v>6.9568937619044072E-3</v>
      </c>
      <c r="AP227" s="50" t="str">
        <f t="shared" si="222"/>
        <v>1-0.0200025980770263i</v>
      </c>
      <c r="AQ227" s="50">
        <f t="shared" si="244"/>
        <v>1.0002000319585234</v>
      </c>
      <c r="AR227" s="50">
        <f t="shared" si="245"/>
        <v>-1.999993101122665E-2</v>
      </c>
      <c r="AS227" s="59" t="str">
        <f t="shared" si="246"/>
        <v>2.91062026778429-18.1676701942401i</v>
      </c>
      <c r="AT227" s="50">
        <f t="shared" si="247"/>
        <v>25.296047951220469</v>
      </c>
      <c r="AU227" s="61">
        <f t="shared" si="248"/>
        <v>-80.898059864292321</v>
      </c>
      <c r="AV227" s="32" t="str">
        <f t="shared" si="223"/>
        <v>-0.0000333333333333333</v>
      </c>
      <c r="AW227" s="32" t="str">
        <f t="shared" si="224"/>
        <v>0.000371040319903212i</v>
      </c>
      <c r="AX227" s="32">
        <f t="shared" si="249"/>
        <v>3.7104031990321199E-4</v>
      </c>
      <c r="AY227" s="32">
        <f t="shared" si="250"/>
        <v>1.5707963267948966</v>
      </c>
      <c r="AZ227" s="32" t="str">
        <f t="shared" si="225"/>
        <v>1+0.151379297182734i</v>
      </c>
      <c r="BA227" s="32">
        <f t="shared" si="251"/>
        <v>1.0113929461962539</v>
      </c>
      <c r="BB227" s="32">
        <f t="shared" si="252"/>
        <v>0.1502386197987351</v>
      </c>
      <c r="BC227" s="32" t="str">
        <f t="shared" si="226"/>
        <v>1+7.26620626477125i</v>
      </c>
      <c r="BD227" s="32">
        <f t="shared" si="253"/>
        <v>7.3346951867273233</v>
      </c>
      <c r="BE227" s="32">
        <f t="shared" si="254"/>
        <v>1.434032057582729</v>
      </c>
      <c r="BF227" s="59" t="str">
        <f t="shared" si="255"/>
        <v>-0.624859160906269+0.184428236826915i</v>
      </c>
      <c r="BG227" s="50">
        <f t="shared" si="256"/>
        <v>-3.7216042115734189</v>
      </c>
      <c r="BH227" s="61">
        <f t="shared" si="257"/>
        <v>163.55594575161371</v>
      </c>
      <c r="BI227" s="59" t="str">
        <f t="shared" si="258"/>
        <v>0.346856570612078+1.94473069627918i</v>
      </c>
      <c r="BJ227" s="64">
        <f t="shared" si="259"/>
        <v>5.9131920285164119</v>
      </c>
      <c r="BK227" s="61">
        <f t="shared" si="260"/>
        <v>79.887228186191365</v>
      </c>
      <c r="BL227" s="59" t="str">
        <f t="shared" si="211"/>
        <v>1.53190364293213+11.8890357172548i</v>
      </c>
      <c r="BM227" s="64">
        <f t="shared" si="261"/>
        <v>21.574443739647023</v>
      </c>
      <c r="BN227" s="61">
        <f t="shared" si="212"/>
        <v>82.657885887321328</v>
      </c>
      <c r="BO227" s="50">
        <f t="shared" si="262"/>
        <v>5.9131920285164119</v>
      </c>
      <c r="BP227" s="61">
        <f t="shared" si="263"/>
        <v>79.887228186191365</v>
      </c>
    </row>
    <row r="228" spans="14:68" x14ac:dyDescent="0.25">
      <c r="N228" s="11">
        <v>10</v>
      </c>
      <c r="O228" s="51">
        <f t="shared" si="264"/>
        <v>1258.925411794168</v>
      </c>
      <c r="P228" s="49" t="str">
        <f t="shared" si="214"/>
        <v>37.1583961085025</v>
      </c>
      <c r="Q228" s="18" t="str">
        <f t="shared" si="215"/>
        <v>1+6.19998477275154i</v>
      </c>
      <c r="R228" s="18">
        <f t="shared" si="227"/>
        <v>6.2801123542776658</v>
      </c>
      <c r="S228" s="18">
        <f t="shared" si="228"/>
        <v>1.4108828175493318</v>
      </c>
      <c r="T228" s="18" t="str">
        <f t="shared" si="216"/>
        <v>1+0.00711905548519812i</v>
      </c>
      <c r="U228" s="18">
        <f t="shared" si="229"/>
        <v>1.000025340154439</v>
      </c>
      <c r="V228" s="18">
        <f t="shared" si="230"/>
        <v>7.1189352220210568E-3</v>
      </c>
      <c r="W228" s="32" t="str">
        <f t="shared" si="217"/>
        <v>1-0.0623123346143641i</v>
      </c>
      <c r="X228" s="18">
        <f t="shared" si="231"/>
        <v>1.0019395326291365</v>
      </c>
      <c r="Y228" s="18">
        <f t="shared" si="232"/>
        <v>-6.223187264393442E-2</v>
      </c>
      <c r="Z228" s="32" t="str">
        <f t="shared" si="218"/>
        <v>0.999960377670189+0.0150027502632508i</v>
      </c>
      <c r="AA228" s="18">
        <f t="shared" si="233"/>
        <v>1.0000729170544358</v>
      </c>
      <c r="AB228" s="18">
        <f t="shared" si="234"/>
        <v>1.5002219130011717E-2</v>
      </c>
      <c r="AC228" s="32" t="str">
        <f>IMDIV(IMSUM(COMPLEX(0,2*PI()*O228*Constants!$B$61*Constants!$B$62),COMPLEX(1,0)),IMSUM(COMPLEX(0,2*PI()*O228*Constants!$B$61*Constants!$B$62),COMPLEX(2,0)))</f>
        <v>0.500125106839344+0.00790808244459598i</v>
      </c>
      <c r="AD228" s="18">
        <f t="shared" si="235"/>
        <v>0.50018762505585423</v>
      </c>
      <c r="AE228" s="18">
        <f t="shared" si="236"/>
        <v>1.5810890835261989E-2</v>
      </c>
      <c r="AF228" s="66" t="str">
        <f t="shared" si="237"/>
        <v>0.312563073111791-2.9486071473636i</v>
      </c>
      <c r="AG228" s="64">
        <f t="shared" si="238"/>
        <v>9.4408668082134337</v>
      </c>
      <c r="AH228" s="61">
        <f t="shared" si="239"/>
        <v>-83.949036068224629</v>
      </c>
      <c r="AI228" s="50" t="str">
        <f t="shared" si="219"/>
        <v>107.538871525172</v>
      </c>
      <c r="AJ228" s="50" t="str">
        <f t="shared" si="220"/>
        <v>1+5.89402321014781i</v>
      </c>
      <c r="AK228" s="50">
        <f t="shared" si="240"/>
        <v>5.9782530560157037</v>
      </c>
      <c r="AL228" s="50">
        <f t="shared" si="241"/>
        <v>1.4027333362141143</v>
      </c>
      <c r="AM228" s="50" t="str">
        <f t="shared" si="221"/>
        <v>1+0.00711905548519812i</v>
      </c>
      <c r="AN228" s="50">
        <f t="shared" si="242"/>
        <v>1.000025340154439</v>
      </c>
      <c r="AO228" s="50">
        <f t="shared" si="243"/>
        <v>7.1189352220210568E-3</v>
      </c>
      <c r="AP228" s="50" t="str">
        <f t="shared" si="222"/>
        <v>1-0.0204685184396295i</v>
      </c>
      <c r="AQ228" s="50">
        <f t="shared" si="244"/>
        <v>1.0002094581871905</v>
      </c>
      <c r="AR228" s="50">
        <f t="shared" si="245"/>
        <v>-2.046566065945838E-2</v>
      </c>
      <c r="AS228" s="59" t="str">
        <f t="shared" si="246"/>
        <v>2.77265033977436-17.7776516378409i</v>
      </c>
      <c r="AT228" s="50">
        <f t="shared" si="247"/>
        <v>25.101862845271551</v>
      </c>
      <c r="AU228" s="61">
        <f t="shared" si="248"/>
        <v>-81.135410985259313</v>
      </c>
      <c r="AV228" s="32" t="str">
        <f t="shared" si="223"/>
        <v>-0.0000333333333333333</v>
      </c>
      <c r="AW228" s="32" t="str">
        <f t="shared" si="224"/>
        <v>0.000379682959210566i</v>
      </c>
      <c r="AX228" s="32">
        <f t="shared" si="249"/>
        <v>3.7968295921056601E-4</v>
      </c>
      <c r="AY228" s="32">
        <f t="shared" si="250"/>
        <v>1.5707963267948966</v>
      </c>
      <c r="AZ228" s="32" t="str">
        <f t="shared" si="225"/>
        <v>1+0.154905373983478i</v>
      </c>
      <c r="BA228" s="32">
        <f t="shared" si="251"/>
        <v>1.0119267141888098</v>
      </c>
      <c r="BB228" s="32">
        <f t="shared" si="252"/>
        <v>0.15368389283297373</v>
      </c>
      <c r="BC228" s="32" t="str">
        <f t="shared" si="226"/>
        <v>1+7.43545795120694i</v>
      </c>
      <c r="BD228" s="32">
        <f t="shared" si="253"/>
        <v>7.5024019449884527</v>
      </c>
      <c r="BE228" s="32">
        <f t="shared" si="254"/>
        <v>1.4371078094138192</v>
      </c>
      <c r="BF228" s="59" t="str">
        <f t="shared" si="255"/>
        <v>-0.624200137183249+0.184484500825512i</v>
      </c>
      <c r="BG228" s="50">
        <f t="shared" si="256"/>
        <v>-3.729821872249548</v>
      </c>
      <c r="BH228" s="61">
        <f t="shared" si="257"/>
        <v>163.53477374623276</v>
      </c>
      <c r="BI228" s="59" t="str">
        <f t="shared" si="258"/>
        <v>0.348870404597113+1.89818402840338i</v>
      </c>
      <c r="BJ228" s="64">
        <f t="shared" si="259"/>
        <v>5.7110449359638658</v>
      </c>
      <c r="BK228" s="61">
        <f t="shared" si="260"/>
        <v>79.585737678008087</v>
      </c>
      <c r="BL228" s="59" t="str">
        <f t="shared" si="211"/>
        <v>1.54901246580859+11.6083236050333i</v>
      </c>
      <c r="BM228" s="64">
        <f t="shared" si="261"/>
        <v>21.372040973022031</v>
      </c>
      <c r="BN228" s="61">
        <f t="shared" si="212"/>
        <v>82.39936276097346</v>
      </c>
      <c r="BO228" s="50">
        <f t="shared" si="262"/>
        <v>5.7110449359638658</v>
      </c>
      <c r="BP228" s="61">
        <f t="shared" si="263"/>
        <v>79.585737678008087</v>
      </c>
    </row>
    <row r="229" spans="14:68" x14ac:dyDescent="0.25">
      <c r="N229" s="11">
        <v>11</v>
      </c>
      <c r="O229" s="51">
        <f t="shared" si="264"/>
        <v>1288.2495516931347</v>
      </c>
      <c r="P229" s="49" t="str">
        <f t="shared" si="214"/>
        <v>37.1583961085025</v>
      </c>
      <c r="Q229" s="18" t="str">
        <f t="shared" si="215"/>
        <v>1+6.34440097020403i</v>
      </c>
      <c r="R229" s="18">
        <f t="shared" si="227"/>
        <v>6.422727120991973</v>
      </c>
      <c r="S229" s="18">
        <f t="shared" si="228"/>
        <v>1.4144632043647845</v>
      </c>
      <c r="T229" s="18" t="str">
        <f t="shared" si="216"/>
        <v>1+0.0072848795896611i</v>
      </c>
      <c r="U229" s="18">
        <f t="shared" si="229"/>
        <v>1.000026534383281</v>
      </c>
      <c r="V229" s="18">
        <f t="shared" si="230"/>
        <v>7.2847507255298354E-3</v>
      </c>
      <c r="W229" s="32" t="str">
        <f t="shared" si="217"/>
        <v>1-0.0637637753435322i</v>
      </c>
      <c r="X229" s="18">
        <f t="shared" si="231"/>
        <v>1.0020308473525457</v>
      </c>
      <c r="Y229" s="18">
        <f t="shared" si="232"/>
        <v>-6.3677568223465236E-2</v>
      </c>
      <c r="Z229" s="32" t="str">
        <f t="shared" si="218"/>
        <v>0.999958510327314+0.0153522092093228i</v>
      </c>
      <c r="AA229" s="18">
        <f t="shared" si="233"/>
        <v>1.0000763534368902</v>
      </c>
      <c r="AB229" s="18">
        <f t="shared" si="234"/>
        <v>1.5351640091912346E-2</v>
      </c>
      <c r="AC229" s="32" t="str">
        <f>IMDIV(IMSUM(COMPLEX(0,2*PI()*O229*Constants!$B$61*Constants!$B$62),COMPLEX(1,0)),IMSUM(COMPLEX(0,2*PI()*O229*Constants!$B$61*Constants!$B$62),COMPLEX(2,0)))</f>
        <v>0.500131001398237+0.00809218992315181i</v>
      </c>
      <c r="AD229" s="18">
        <f t="shared" si="235"/>
        <v>0.50019646349944913</v>
      </c>
      <c r="AE229" s="18">
        <f t="shared" si="236"/>
        <v>1.6178728855479479E-2</v>
      </c>
      <c r="AF229" s="66" t="str">
        <f t="shared" si="237"/>
        <v>0.291690552774137-2.88488757394686i</v>
      </c>
      <c r="AG229" s="64">
        <f t="shared" si="238"/>
        <v>9.2467512494088933</v>
      </c>
      <c r="AH229" s="61">
        <f t="shared" si="239"/>
        <v>-84.226453628700682</v>
      </c>
      <c r="AI229" s="50" t="str">
        <f t="shared" si="219"/>
        <v>107.538871525172</v>
      </c>
      <c r="AJ229" s="50" t="str">
        <f t="shared" si="220"/>
        <v>1+6.03131264728436i</v>
      </c>
      <c r="AK229" s="50">
        <f t="shared" si="240"/>
        <v>6.1136513025598926</v>
      </c>
      <c r="AL229" s="50">
        <f t="shared" si="241"/>
        <v>1.4064896614377</v>
      </c>
      <c r="AM229" s="50" t="str">
        <f t="shared" si="221"/>
        <v>1+0.0072848795896611i</v>
      </c>
      <c r="AN229" s="50">
        <f t="shared" si="242"/>
        <v>1.000026534383281</v>
      </c>
      <c r="AO229" s="50">
        <f t="shared" si="243"/>
        <v>7.2847507255298354E-3</v>
      </c>
      <c r="AP229" s="50" t="str">
        <f t="shared" si="222"/>
        <v>1-0.0209452914816422i</v>
      </c>
      <c r="AQ229" s="50">
        <f t="shared" si="244"/>
        <v>1.0002193285651158</v>
      </c>
      <c r="AR229" s="50">
        <f t="shared" si="245"/>
        <v>-2.0942229351283082E-2</v>
      </c>
      <c r="AS229" s="59" t="str">
        <f t="shared" si="246"/>
        <v>2.64054997700547-17.3950077515322i</v>
      </c>
      <c r="AT229" s="50">
        <f t="shared" si="247"/>
        <v>24.907431528512749</v>
      </c>
      <c r="AU229" s="61">
        <f t="shared" si="248"/>
        <v>-81.36843741321006</v>
      </c>
      <c r="AV229" s="32" t="str">
        <f t="shared" si="223"/>
        <v>-0.0000333333333333333</v>
      </c>
      <c r="AW229" s="32" t="str">
        <f t="shared" si="224"/>
        <v>0.000388526911448592i</v>
      </c>
      <c r="AX229" s="32">
        <f t="shared" si="249"/>
        <v>3.8852691144859199E-4</v>
      </c>
      <c r="AY229" s="32">
        <f t="shared" si="250"/>
        <v>1.5707963267948966</v>
      </c>
      <c r="AZ229" s="32" t="str">
        <f t="shared" si="225"/>
        <v>1+0.158513583663922i</v>
      </c>
      <c r="BA229" s="32">
        <f t="shared" si="251"/>
        <v>1.0124853362918296</v>
      </c>
      <c r="BB229" s="32">
        <f t="shared" si="252"/>
        <v>0.15720561314196366</v>
      </c>
      <c r="BC229" s="32" t="str">
        <f t="shared" si="226"/>
        <v>1+7.60865201586827i</v>
      </c>
      <c r="BD229" s="32">
        <f t="shared" si="253"/>
        <v>7.6740853199958803</v>
      </c>
      <c r="BE229" s="32">
        <f t="shared" si="254"/>
        <v>1.4401160094240153</v>
      </c>
      <c r="BF229" s="59" t="str">
        <f t="shared" si="255"/>
        <v>-0.623511542912669+0.184629191950886i</v>
      </c>
      <c r="BG229" s="50">
        <f t="shared" si="256"/>
        <v>-3.7380895840209174</v>
      </c>
      <c r="BH229" s="61">
        <f t="shared" si="257"/>
        <v>163.50535120041746</v>
      </c>
      <c r="BI229" s="59" t="str">
        <f t="shared" si="258"/>
        <v>0.350762035033709+1.85261529341959i</v>
      </c>
      <c r="BJ229" s="64">
        <f t="shared" si="259"/>
        <v>5.5086616653879803</v>
      </c>
      <c r="BK229" s="61">
        <f t="shared" si="260"/>
        <v>79.278897571716783</v>
      </c>
      <c r="BL229" s="59" t="str">
        <f t="shared" si="211"/>
        <v>1.5652128348441+11.3335107306961i</v>
      </c>
      <c r="BM229" s="64">
        <f t="shared" si="261"/>
        <v>21.169341944491809</v>
      </c>
      <c r="BN229" s="61">
        <f t="shared" si="212"/>
        <v>82.136913787207362</v>
      </c>
      <c r="BO229" s="50">
        <f t="shared" si="262"/>
        <v>5.5086616653879803</v>
      </c>
      <c r="BP229" s="61">
        <f t="shared" si="263"/>
        <v>79.278897571716783</v>
      </c>
    </row>
    <row r="230" spans="14:68" x14ac:dyDescent="0.25">
      <c r="N230" s="11">
        <v>12</v>
      </c>
      <c r="O230" s="51">
        <f t="shared" si="264"/>
        <v>1318.2567385564089</v>
      </c>
      <c r="P230" s="49" t="str">
        <f t="shared" si="214"/>
        <v>37.1583961085025</v>
      </c>
      <c r="Q230" s="18" t="str">
        <f t="shared" si="215"/>
        <v>1+6.49218105302901i</v>
      </c>
      <c r="R230" s="18">
        <f t="shared" si="227"/>
        <v>6.568745300687862</v>
      </c>
      <c r="S230" s="18">
        <f t="shared" si="228"/>
        <v>1.4179660008099386</v>
      </c>
      <c r="T230" s="18" t="str">
        <f t="shared" si="216"/>
        <v>1+0.00745456623370931i</v>
      </c>
      <c r="U230" s="18">
        <f t="shared" si="229"/>
        <v>1.0000277848928663</v>
      </c>
      <c r="V230" s="18">
        <f t="shared" si="230"/>
        <v>7.4544281535121092E-3</v>
      </c>
      <c r="W230" s="32" t="str">
        <f t="shared" si="217"/>
        <v>1-0.0652490244704009i</v>
      </c>
      <c r="X230" s="18">
        <f t="shared" si="231"/>
        <v>1.0021264566881463</v>
      </c>
      <c r="Y230" s="18">
        <f t="shared" si="232"/>
        <v>-6.5156662459957937E-2</v>
      </c>
      <c r="Z230" s="32" t="str">
        <f t="shared" si="218"/>
        <v>0.999956554979281+0.0157098080999281i</v>
      </c>
      <c r="AA230" s="18">
        <f t="shared" si="233"/>
        <v>1.0000799517621419</v>
      </c>
      <c r="AB230" s="18">
        <f t="shared" si="234"/>
        <v>1.5709198282002016E-2</v>
      </c>
      <c r="AC230" s="32" t="str">
        <f>IMDIV(IMSUM(COMPLEX(0,2*PI()*O230*Constants!$B$61*Constants!$B$62),COMPLEX(1,0)),IMSUM(COMPLEX(0,2*PI()*O230*Constants!$B$61*Constants!$B$62),COMPLEX(2,0)))</f>
        <v>0.500137173610135+0.00828057899353861i</v>
      </c>
      <c r="AD230" s="18">
        <f t="shared" si="235"/>
        <v>0.50020571809526782</v>
      </c>
      <c r="AE230" s="18">
        <f t="shared" si="236"/>
        <v>1.655510313276869E-2</v>
      </c>
      <c r="AF230" s="66" t="str">
        <f t="shared" si="237"/>
        <v>0.271712565374258-2.82240829353118i</v>
      </c>
      <c r="AG230" s="64">
        <f t="shared" si="238"/>
        <v>9.0524612541539238</v>
      </c>
      <c r="AH230" s="61">
        <f t="shared" si="239"/>
        <v>-84.501095055869115</v>
      </c>
      <c r="AI230" s="50" t="str">
        <f t="shared" si="219"/>
        <v>107.538871525172</v>
      </c>
      <c r="AJ230" s="50" t="str">
        <f t="shared" si="220"/>
        <v>1+6.17179996622038i</v>
      </c>
      <c r="AK230" s="50">
        <f t="shared" si="240"/>
        <v>6.2522887667667657</v>
      </c>
      <c r="AL230" s="50">
        <f t="shared" si="241"/>
        <v>1.4101650089551461</v>
      </c>
      <c r="AM230" s="50" t="str">
        <f t="shared" si="221"/>
        <v>1+0.00745456623370931i</v>
      </c>
      <c r="AN230" s="50">
        <f t="shared" si="242"/>
        <v>1.0000277848928663</v>
      </c>
      <c r="AO230" s="50">
        <f t="shared" si="243"/>
        <v>7.4544281535121092E-3</v>
      </c>
      <c r="AP230" s="50" t="str">
        <f t="shared" si="222"/>
        <v>1-0.0214331699944423i</v>
      </c>
      <c r="AQ230" s="50">
        <f t="shared" si="244"/>
        <v>1.0002296640152255</v>
      </c>
      <c r="AR230" s="50">
        <f t="shared" si="245"/>
        <v>-2.142988890333547E-2</v>
      </c>
      <c r="AS230" s="59" t="str">
        <f t="shared" si="246"/>
        <v>2.51408375546327-17.0196653109701i</v>
      </c>
      <c r="AT230" s="50">
        <f t="shared" si="247"/>
        <v>24.712764876362691</v>
      </c>
      <c r="AU230" s="61">
        <f t="shared" si="248"/>
        <v>-81.597238347873386</v>
      </c>
      <c r="AV230" s="32" t="str">
        <f t="shared" si="223"/>
        <v>-0.0000333333333333333</v>
      </c>
      <c r="AW230" s="32" t="str">
        <f t="shared" si="224"/>
        <v>0.000397576865797829i</v>
      </c>
      <c r="AX230" s="32">
        <f t="shared" si="249"/>
        <v>3.9757686579782901E-4</v>
      </c>
      <c r="AY230" s="32">
        <f t="shared" si="250"/>
        <v>1.5707963267948966</v>
      </c>
      <c r="AZ230" s="32" t="str">
        <f t="shared" si="225"/>
        <v>1+0.162205839344601i</v>
      </c>
      <c r="BA230" s="32">
        <f t="shared" si="251"/>
        <v>1.013069955293062</v>
      </c>
      <c r="BB230" s="32">
        <f t="shared" si="252"/>
        <v>0.16080529838389052</v>
      </c>
      <c r="BC230" s="32" t="str">
        <f t="shared" si="226"/>
        <v>1+7.78588028854084i</v>
      </c>
      <c r="BD230" s="32">
        <f t="shared" si="253"/>
        <v>7.8498364229765185</v>
      </c>
      <c r="BE230" s="32">
        <f t="shared" si="254"/>
        <v>1.443058034709483</v>
      </c>
      <c r="BF230" s="59" t="str">
        <f t="shared" si="255"/>
        <v>-0.622792122666246+0.184861748705782i</v>
      </c>
      <c r="BG230" s="50">
        <f t="shared" si="256"/>
        <v>-3.7464237839135506</v>
      </c>
      <c r="BH230" s="61">
        <f t="shared" si="257"/>
        <v>163.46767006055765</v>
      </c>
      <c r="BI230" s="59" t="str">
        <f t="shared" si="258"/>
        <v>0.352534887359351+1.80800291213952i</v>
      </c>
      <c r="BJ230" s="64">
        <f t="shared" si="259"/>
        <v>5.3060374702403745</v>
      </c>
      <c r="BK230" s="61">
        <f t="shared" si="260"/>
        <v>78.966575004688536</v>
      </c>
      <c r="BL230" s="59" t="str">
        <f t="shared" si="211"/>
        <v>1.58053353314737+11.0644714055159i</v>
      </c>
      <c r="BM230" s="64">
        <f t="shared" si="261"/>
        <v>20.966341092449156</v>
      </c>
      <c r="BN230" s="61">
        <f t="shared" si="212"/>
        <v>81.870431712684294</v>
      </c>
      <c r="BO230" s="50">
        <f t="shared" si="262"/>
        <v>5.3060374702403745</v>
      </c>
      <c r="BP230" s="61">
        <f t="shared" si="263"/>
        <v>78.966575004688536</v>
      </c>
    </row>
    <row r="231" spans="14:68" x14ac:dyDescent="0.25">
      <c r="N231" s="11">
        <v>13</v>
      </c>
      <c r="O231" s="51">
        <f t="shared" si="264"/>
        <v>1348.9628825916541</v>
      </c>
      <c r="P231" s="49" t="str">
        <f t="shared" si="214"/>
        <v>37.1583961085025</v>
      </c>
      <c r="Q231" s="18" t="str">
        <f t="shared" si="215"/>
        <v>1+6.64340337618246i</v>
      </c>
      <c r="R231" s="18">
        <f t="shared" si="227"/>
        <v>6.7182444446947969</v>
      </c>
      <c r="S231" s="18">
        <f t="shared" si="228"/>
        <v>1.4213927201146059</v>
      </c>
      <c r="T231" s="18" t="str">
        <f t="shared" si="216"/>
        <v>1+0.00762820538744746i</v>
      </c>
      <c r="U231" s="18">
        <f t="shared" si="229"/>
        <v>1.0000290943354764</v>
      </c>
      <c r="V231" s="18">
        <f t="shared" si="230"/>
        <v>7.6280574320829716E-3</v>
      </c>
      <c r="W231" s="32" t="str">
        <f t="shared" si="217"/>
        <v>1-0.0667688694937166i</v>
      </c>
      <c r="X231" s="18">
        <f t="shared" si="231"/>
        <v>1.00222656217717</v>
      </c>
      <c r="Y231" s="18">
        <f t="shared" si="232"/>
        <v>-6.6669913687416496E-2</v>
      </c>
      <c r="Z231" s="32" t="str">
        <f t="shared" si="218"/>
        <v>0.999954507478535+0.0160757365387318i</v>
      </c>
      <c r="AA231" s="18">
        <f t="shared" si="233"/>
        <v>1.0000837196614603</v>
      </c>
      <c r="AB231" s="18">
        <f t="shared" si="234"/>
        <v>1.6075083109706168E-2</v>
      </c>
      <c r="AC231" s="32" t="str">
        <f>IMDIV(IMSUM(COMPLEX(0,2*PI()*O231*Constants!$B$61*Constants!$B$62),COMPLEX(1,0)),IMSUM(COMPLEX(0,2*PI()*O231*Constants!$B$61*Constants!$B$62),COMPLEX(2,0)))</f>
        <v>0.500143636546051+0.00847334889922068i</v>
      </c>
      <c r="AD231" s="18">
        <f t="shared" si="235"/>
        <v>0.50021540841828971</v>
      </c>
      <c r="AE231" s="18">
        <f t="shared" si="236"/>
        <v>1.6940210232148062E-2</v>
      </c>
      <c r="AF231" s="66" t="str">
        <f t="shared" si="237"/>
        <v>0.252592622674809-2.76115460192942i</v>
      </c>
      <c r="AG231" s="64">
        <f t="shared" si="238"/>
        <v>8.858008206561955</v>
      </c>
      <c r="AH231" s="61">
        <f t="shared" si="239"/>
        <v>-84.773084938377266</v>
      </c>
      <c r="AI231" s="50" t="str">
        <f t="shared" si="219"/>
        <v>107.538871525172</v>
      </c>
      <c r="AJ231" s="50" t="str">
        <f t="shared" si="220"/>
        <v>1+6.3155596551919i</v>
      </c>
      <c r="AK231" s="50">
        <f t="shared" si="240"/>
        <v>6.3942391070625151</v>
      </c>
      <c r="AL231" s="50">
        <f t="shared" si="241"/>
        <v>1.4137609301049952</v>
      </c>
      <c r="AM231" s="50" t="str">
        <f t="shared" si="221"/>
        <v>1+0.00762820538744746i</v>
      </c>
      <c r="AN231" s="50">
        <f t="shared" si="242"/>
        <v>1.0000290943354764</v>
      </c>
      <c r="AO231" s="50">
        <f t="shared" si="243"/>
        <v>7.6280574320829716E-3</v>
      </c>
      <c r="AP231" s="50" t="str">
        <f t="shared" si="222"/>
        <v>1-0.0219324126576749i</v>
      </c>
      <c r="AQ231" s="50">
        <f t="shared" si="244"/>
        <v>1.000240486445628</v>
      </c>
      <c r="AR231" s="50">
        <f t="shared" si="245"/>
        <v>-2.1928896950863121E-2</v>
      </c>
      <c r="AS231" s="59" t="str">
        <f t="shared" si="246"/>
        <v>2.39302446390212-16.6515470660099i</v>
      </c>
      <c r="AT231" s="50">
        <f t="shared" si="247"/>
        <v>24.517873344613395</v>
      </c>
      <c r="AU231" s="61">
        <f t="shared" si="248"/>
        <v>-81.821912283426002</v>
      </c>
      <c r="AV231" s="32" t="str">
        <f t="shared" si="223"/>
        <v>-0.0000333333333333333</v>
      </c>
      <c r="AW231" s="32" t="str">
        <f t="shared" si="224"/>
        <v>0.000406837620663864i</v>
      </c>
      <c r="AX231" s="32">
        <f t="shared" si="249"/>
        <v>4.0683762066386401E-4</v>
      </c>
      <c r="AY231" s="32">
        <f t="shared" si="250"/>
        <v>1.5707963267948966</v>
      </c>
      <c r="AZ231" s="32" t="str">
        <f t="shared" si="225"/>
        <v>1+0.165984098708347i</v>
      </c>
      <c r="BA231" s="32">
        <f t="shared" si="251"/>
        <v>1.013681765163023</v>
      </c>
      <c r="BB231" s="32">
        <f t="shared" si="252"/>
        <v>0.16448448381922948</v>
      </c>
      <c r="BC231" s="32" t="str">
        <f t="shared" si="226"/>
        <v>1+7.96723673800069i</v>
      </c>
      <c r="BD231" s="32">
        <f t="shared" si="253"/>
        <v>8.0297485165693629</v>
      </c>
      <c r="BE231" s="32">
        <f t="shared" si="254"/>
        <v>1.4459352413448585</v>
      </c>
      <c r="BF231" s="59" t="str">
        <f t="shared" si="255"/>
        <v>-0.622040574409563+0.185181614428176i</v>
      </c>
      <c r="BG231" s="50">
        <f t="shared" si="256"/>
        <v>-3.7548410155906238</v>
      </c>
      <c r="BH231" s="61">
        <f t="shared" si="257"/>
        <v>163.42172006006078</v>
      </c>
      <c r="BI231" s="59" t="str">
        <f t="shared" si="258"/>
        <v>0.354192206770821+1.76432570427735i</v>
      </c>
      <c r="BJ231" s="64">
        <f t="shared" si="259"/>
        <v>5.1031671909713205</v>
      </c>
      <c r="BK231" s="61">
        <f t="shared" si="260"/>
        <v>78.648635121683512</v>
      </c>
      <c r="BL231" s="59" t="str">
        <f t="shared" si="211"/>
        <v>1.59500205630866+10.8010820353402i</v>
      </c>
      <c r="BM231" s="64">
        <f t="shared" si="261"/>
        <v>20.763032329022778</v>
      </c>
      <c r="BN231" s="61">
        <f t="shared" si="212"/>
        <v>81.59980777663479</v>
      </c>
      <c r="BO231" s="50">
        <f t="shared" si="262"/>
        <v>5.1031671909713205</v>
      </c>
      <c r="BP231" s="61">
        <f t="shared" si="263"/>
        <v>78.648635121683512</v>
      </c>
    </row>
    <row r="232" spans="14:68" x14ac:dyDescent="0.25">
      <c r="N232" s="11">
        <v>14</v>
      </c>
      <c r="O232" s="51">
        <f t="shared" si="264"/>
        <v>1380.3842646028863</v>
      </c>
      <c r="P232" s="49" t="str">
        <f t="shared" si="214"/>
        <v>37.1583961085025</v>
      </c>
      <c r="Q232" s="18" t="str">
        <f t="shared" si="215"/>
        <v>1+6.79814811974182i</v>
      </c>
      <c r="R232" s="18">
        <f t="shared" si="227"/>
        <v>6.8713039416073896</v>
      </c>
      <c r="S232" s="18">
        <f t="shared" si="228"/>
        <v>1.4247448571012902</v>
      </c>
      <c r="T232" s="18" t="str">
        <f t="shared" si="216"/>
        <v>1+0.00780588911665328i</v>
      </c>
      <c r="U232" s="18">
        <f t="shared" si="229"/>
        <v>1.0000304654883778</v>
      </c>
      <c r="V232" s="18">
        <f t="shared" si="230"/>
        <v>7.8057305798847655E-3</v>
      </c>
      <c r="W232" s="32" t="str">
        <f t="shared" si="217"/>
        <v>1-0.0683241162554285i</v>
      </c>
      <c r="X232" s="18">
        <f t="shared" si="231"/>
        <v>1.0023313747768676</v>
      </c>
      <c r="Y232" s="18">
        <f t="shared" si="232"/>
        <v>-6.821809651415732E-2</v>
      </c>
      <c r="Z232" s="32" t="str">
        <f t="shared" si="218"/>
        <v>0.999952363482051+0.016450188545836i</v>
      </c>
      <c r="AA232" s="18">
        <f t="shared" si="233"/>
        <v>1.0000876651256796</v>
      </c>
      <c r="AB232" s="18">
        <f t="shared" si="234"/>
        <v>1.6449488386999202E-2</v>
      </c>
      <c r="AC232" s="32" t="str">
        <f>IMDIV(IMSUM(COMPLEX(0,2*PI()*O232*Constants!$B$61*Constants!$B$62),COMPLEX(1,0)),IMSUM(COMPLEX(0,2*PI()*O232*Constants!$B$61*Constants!$B$62),COMPLEX(2,0)))</f>
        <v>0.50015040389163+0.00867060116050191i</v>
      </c>
      <c r="AD232" s="18">
        <f t="shared" si="235"/>
        <v>0.50022555496240406</v>
      </c>
      <c r="AE232" s="18">
        <f t="shared" si="236"/>
        <v>1.7334251135331942E-2</v>
      </c>
      <c r="AF232" s="66" t="str">
        <f t="shared" si="237"/>
        <v>0.234295561414639-2.70111130803806i</v>
      </c>
      <c r="AG232" s="64">
        <f t="shared" si="238"/>
        <v>8.6634032028198646</v>
      </c>
      <c r="AH232" s="61">
        <f t="shared" si="239"/>
        <v>-85.042547621957382</v>
      </c>
      <c r="AI232" s="50" t="str">
        <f t="shared" si="219"/>
        <v>107.538871525172</v>
      </c>
      <c r="AJ232" s="50" t="str">
        <f t="shared" si="220"/>
        <v>1+6.46266793748893i</v>
      </c>
      <c r="AK232" s="50">
        <f t="shared" si="240"/>
        <v>6.5395777287411621</v>
      </c>
      <c r="AL232" s="50">
        <f t="shared" si="241"/>
        <v>1.4172789593218549</v>
      </c>
      <c r="AM232" s="50" t="str">
        <f t="shared" si="221"/>
        <v>1+0.00780588911665328i</v>
      </c>
      <c r="AN232" s="50">
        <f t="shared" si="242"/>
        <v>1.0000304654883778</v>
      </c>
      <c r="AO232" s="50">
        <f t="shared" si="243"/>
        <v>7.8057305798847655E-3</v>
      </c>
      <c r="AP232" s="50" t="str">
        <f t="shared" si="222"/>
        <v>1-0.0224432841764084i</v>
      </c>
      <c r="AQ232" s="50">
        <f t="shared" si="244"/>
        <v>1.0002518187959584</v>
      </c>
      <c r="AR232" s="50">
        <f t="shared" si="245"/>
        <v>-2.2439517079908152E-2</v>
      </c>
      <c r="AS232" s="59" t="str">
        <f t="shared" si="246"/>
        <v>2.27715292579927-16.2905721491163i</v>
      </c>
      <c r="AT232" s="50">
        <f t="shared" si="247"/>
        <v>24.322766984955024</v>
      </c>
      <c r="AU232" s="61">
        <f t="shared" si="248"/>
        <v>-82.042556966582652</v>
      </c>
      <c r="AV232" s="32" t="str">
        <f t="shared" si="223"/>
        <v>-0.0000333333333333333</v>
      </c>
      <c r="AW232" s="32" t="str">
        <f t="shared" si="224"/>
        <v>0.000416314086221508i</v>
      </c>
      <c r="AX232" s="32">
        <f t="shared" si="249"/>
        <v>4.16314086221508E-4</v>
      </c>
      <c r="AY232" s="32">
        <f t="shared" si="250"/>
        <v>1.5707963267948966</v>
      </c>
      <c r="AZ232" s="32" t="str">
        <f t="shared" si="225"/>
        <v>1+0.169850365038289i</v>
      </c>
      <c r="BA232" s="32">
        <f t="shared" si="251"/>
        <v>1.0143220132204762</v>
      </c>
      <c r="BB232" s="32">
        <f t="shared" si="252"/>
        <v>0.16824472157532863</v>
      </c>
      <c r="BC232" s="32" t="str">
        <f t="shared" si="226"/>
        <v>1+8.15281752183789i</v>
      </c>
      <c r="BD232" s="32">
        <f t="shared" si="253"/>
        <v>8.2139170646158188</v>
      </c>
      <c r="BE232" s="32">
        <f t="shared" si="254"/>
        <v>1.4487489642141564</v>
      </c>
      <c r="BF232" s="59" t="str">
        <f t="shared" si="255"/>
        <v>-0.621255548408506+0.185588234456648i</v>
      </c>
      <c r="BG232" s="50">
        <f t="shared" si="256"/>
        <v>-3.7633579555241976</v>
      </c>
      <c r="BH232" s="61">
        <f t="shared" si="257"/>
        <v>163.36748875180075</v>
      </c>
      <c r="BI232" s="59" t="str">
        <f t="shared" si="258"/>
        <v>0.35573706123334+1.72156288657157i</v>
      </c>
      <c r="BJ232" s="64">
        <f t="shared" si="259"/>
        <v>4.9000452472956457</v>
      </c>
      <c r="BK232" s="61">
        <f t="shared" si="260"/>
        <v>78.324941129843367</v>
      </c>
      <c r="BL232" s="59" t="str">
        <f t="shared" si="211"/>
        <v>1.60864463371568+10.5432211254745i</v>
      </c>
      <c r="BM232" s="64">
        <f t="shared" si="261"/>
        <v>20.559409029430856</v>
      </c>
      <c r="BN232" s="61">
        <f t="shared" si="212"/>
        <v>81.324931785218126</v>
      </c>
      <c r="BO232" s="50">
        <f t="shared" si="262"/>
        <v>4.9000452472956457</v>
      </c>
      <c r="BP232" s="61">
        <f t="shared" si="263"/>
        <v>78.324941129843367</v>
      </c>
    </row>
    <row r="233" spans="14:68" x14ac:dyDescent="0.25">
      <c r="N233" s="11">
        <v>15</v>
      </c>
      <c r="O233" s="51">
        <f t="shared" si="264"/>
        <v>1412.5375446227545</v>
      </c>
      <c r="P233" s="49" t="str">
        <f t="shared" si="214"/>
        <v>37.1583961085025</v>
      </c>
      <c r="Q233" s="18" t="str">
        <f t="shared" si="215"/>
        <v>1+6.95649733141838i</v>
      </c>
      <c r="R233" s="18">
        <f t="shared" si="227"/>
        <v>7.0280050599036308</v>
      </c>
      <c r="S233" s="18">
        <f t="shared" si="228"/>
        <v>1.4280238876222735</v>
      </c>
      <c r="T233" s="18" t="str">
        <f t="shared" si="216"/>
        <v>1+0.00798771163159191i</v>
      </c>
      <c r="U233" s="18">
        <f t="shared" si="229"/>
        <v>1.0000319012597096</v>
      </c>
      <c r="V233" s="18">
        <f t="shared" si="230"/>
        <v>7.987541756676533E-3</v>
      </c>
      <c r="W233" s="32" t="str">
        <f t="shared" si="217"/>
        <v>1-0.0699155893679555i</v>
      </c>
      <c r="X233" s="18">
        <f t="shared" si="231"/>
        <v>1.0024411152963892</v>
      </c>
      <c r="Y233" s="18">
        <f t="shared" si="232"/>
        <v>-6.9802002104164138E-2</v>
      </c>
      <c r="Z233" s="32" t="str">
        <f t="shared" si="218"/>
        <v>0.999950118442126+0.0168333626606511i</v>
      </c>
      <c r="AA233" s="18">
        <f t="shared" si="233"/>
        <v>1.0000917965221428</v>
      </c>
      <c r="AB233" s="18">
        <f t="shared" si="234"/>
        <v>1.6832612430282931E-2</v>
      </c>
      <c r="AC233" s="32" t="str">
        <f>IMDIV(IMSUM(COMPLEX(0,2*PI()*O233*Constants!$B$61*Constants!$B$62),COMPLEX(1,0)),IMSUM(COMPLEX(0,2*PI()*O233*Constants!$B$61*Constants!$B$62),COMPLEX(2,0)))</f>
        <v>0.500157489975986+0.00887243962507313i</v>
      </c>
      <c r="AD233" s="18">
        <f t="shared" si="235"/>
        <v>0.50023617918337249</v>
      </c>
      <c r="AE233" s="18">
        <f t="shared" si="236"/>
        <v>1.7737431332085475E-2</v>
      </c>
      <c r="AF233" s="66" t="str">
        <f t="shared" si="237"/>
        <v>0.216787509419113-2.64226279202579i</v>
      </c>
      <c r="AG233" s="64">
        <f t="shared" si="238"/>
        <v>8.4686570694494954</v>
      </c>
      <c r="AH233" s="61">
        <f t="shared" si="239"/>
        <v>-85.309607191113301</v>
      </c>
      <c r="AI233" s="50" t="str">
        <f t="shared" si="219"/>
        <v>107.538871525172</v>
      </c>
      <c r="AJ233" s="50" t="str">
        <f t="shared" si="220"/>
        <v>1+6.61320281186994i</v>
      </c>
      <c r="AK233" s="50">
        <f t="shared" si="240"/>
        <v>6.6883818245465392</v>
      </c>
      <c r="AL233" s="50">
        <f t="shared" si="241"/>
        <v>1.4207206134049002</v>
      </c>
      <c r="AM233" s="50" t="str">
        <f t="shared" si="221"/>
        <v>1+0.00798771163159191i</v>
      </c>
      <c r="AN233" s="50">
        <f t="shared" si="242"/>
        <v>1.0000319012597096</v>
      </c>
      <c r="AO233" s="50">
        <f t="shared" si="243"/>
        <v>7.987541756676533E-3</v>
      </c>
      <c r="AP233" s="50" t="str">
        <f t="shared" si="222"/>
        <v>1-0.0229660554214843i</v>
      </c>
      <c r="AQ233" s="50">
        <f t="shared" si="244"/>
        <v>1.000263685085899</v>
      </c>
      <c r="AR233" s="50">
        <f t="shared" si="245"/>
        <v>-2.2962018962327625E-2</v>
      </c>
      <c r="AS233" s="59" t="str">
        <f t="shared" si="246"/>
        <v>2.16625781466572-15.9366564596637i</v>
      </c>
      <c r="AT233" s="50">
        <f t="shared" si="247"/>
        <v>24.127455460186617</v>
      </c>
      <c r="AU233" s="61">
        <f t="shared" si="248"/>
        <v>-82.259269359636917</v>
      </c>
      <c r="AV233" s="32" t="str">
        <f t="shared" si="223"/>
        <v>-0.0000333333333333333</v>
      </c>
      <c r="AW233" s="32" t="str">
        <f t="shared" si="224"/>
        <v>0.000426011287018235i</v>
      </c>
      <c r="AX233" s="32">
        <f t="shared" si="249"/>
        <v>4.2601128701823498E-4</v>
      </c>
      <c r="AY233" s="32">
        <f t="shared" si="250"/>
        <v>1.5707963267948966</v>
      </c>
      <c r="AZ233" s="32" t="str">
        <f t="shared" si="225"/>
        <v>1+0.173806688280009i</v>
      </c>
      <c r="BA233" s="32">
        <f t="shared" si="251"/>
        <v>1.0149920023777843</v>
      </c>
      <c r="BB233" s="32">
        <f t="shared" si="252"/>
        <v>0.17208757982606993</v>
      </c>
      <c r="BC233" s="32" t="str">
        <f t="shared" si="226"/>
        <v>1+8.34272103744045i</v>
      </c>
      <c r="BD233" s="32">
        <f t="shared" si="253"/>
        <v>8.4024397830958257</v>
      </c>
      <c r="BE233" s="32">
        <f t="shared" si="254"/>
        <v>1.4515005168843935</v>
      </c>
      <c r="BF233" s="59" t="str">
        <f t="shared" si="255"/>
        <v>-0.620435646175513+0.186081053164998i</v>
      </c>
      <c r="BG233" s="50">
        <f t="shared" si="256"/>
        <v>-3.7719914391382261</v>
      </c>
      <c r="BH233" s="61">
        <f t="shared" si="257"/>
        <v>163.30496154787872</v>
      </c>
      <c r="BI233" s="59" t="str">
        <f t="shared" si="258"/>
        <v>0.35717234458962+1.67969407080176i</v>
      </c>
      <c r="BJ233" s="64">
        <f t="shared" si="259"/>
        <v>4.6966656303112613</v>
      </c>
      <c r="BK233" s="61">
        <f t="shared" si="260"/>
        <v>77.995354356765404</v>
      </c>
      <c r="BL233" s="59" t="str">
        <f t="shared" si="211"/>
        <v>1.62148625091811+10.2907692840085i</v>
      </c>
      <c r="BM233" s="64">
        <f t="shared" si="261"/>
        <v>20.355464021048377</v>
      </c>
      <c r="BN233" s="61">
        <f t="shared" si="212"/>
        <v>81.045692188241802</v>
      </c>
      <c r="BO233" s="50">
        <f t="shared" si="262"/>
        <v>4.6966656303112613</v>
      </c>
      <c r="BP233" s="61">
        <f t="shared" si="263"/>
        <v>77.995354356765404</v>
      </c>
    </row>
    <row r="234" spans="14:68" x14ac:dyDescent="0.25">
      <c r="N234" s="11">
        <v>16</v>
      </c>
      <c r="O234" s="51">
        <f t="shared" si="264"/>
        <v>1445.4397707459289</v>
      </c>
      <c r="P234" s="49" t="str">
        <f t="shared" si="214"/>
        <v>37.1583961085025</v>
      </c>
      <c r="Q234" s="18" t="str">
        <f t="shared" si="215"/>
        <v>1+7.1185349700602i</v>
      </c>
      <c r="R234" s="18">
        <f t="shared" si="227"/>
        <v>7.1884309915286773</v>
      </c>
      <c r="S234" s="18">
        <f t="shared" si="228"/>
        <v>1.4312312680659112</v>
      </c>
      <c r="T234" s="18" t="str">
        <f t="shared" si="216"/>
        <v>1+0.00817376933696747i</v>
      </c>
      <c r="U234" s="18">
        <f t="shared" si="229"/>
        <v>1.0000334046946502</v>
      </c>
      <c r="V234" s="18">
        <f t="shared" si="230"/>
        <v>8.1735873130445551E-3</v>
      </c>
      <c r="W234" s="32" t="str">
        <f t="shared" si="217"/>
        <v>1-0.0715441326514077i</v>
      </c>
      <c r="X234" s="18">
        <f t="shared" si="231"/>
        <v>1.0025560148524582</v>
      </c>
      <c r="Y234" s="18">
        <f t="shared" si="232"/>
        <v>-7.142243845820978E-2</v>
      </c>
      <c r="Z234" s="32" t="str">
        <f t="shared" si="218"/>
        <v>0.999947767596729+0.0172254620471648i</v>
      </c>
      <c r="AA234" s="18">
        <f t="shared" si="233"/>
        <v>1.0000961226124316</v>
      </c>
      <c r="AB234" s="18">
        <f t="shared" si="234"/>
        <v>1.7224658164591893E-2</v>
      </c>
      <c r="AC234" s="32" t="str">
        <f>IMDIV(IMSUM(COMPLEX(0,2*PI()*O234*Constants!$B$61*Constants!$B$62),COMPLEX(1,0)),IMSUM(COMPLEX(0,2*PI()*O234*Constants!$B$61*Constants!$B$62),COMPLEX(2,0)))</f>
        <v>0.500164909801876+0.00907897051955955i</v>
      </c>
      <c r="AD234" s="18">
        <f t="shared" si="235"/>
        <v>0.500247303543771</v>
      </c>
      <c r="AE234" s="18">
        <f t="shared" si="236"/>
        <v>1.8149960912890353E-2</v>
      </c>
      <c r="AF234" s="66" t="str">
        <f t="shared" si="237"/>
        <v>0.200035851220472-2.58459305984949i</v>
      </c>
      <c r="AG234" s="64">
        <f t="shared" si="238"/>
        <v>8.2737803813932516</v>
      </c>
      <c r="AH234" s="61">
        <f t="shared" si="239"/>
        <v>-85.574387454753477</v>
      </c>
      <c r="AI234" s="50" t="str">
        <f t="shared" si="219"/>
        <v>107.538871525172</v>
      </c>
      <c r="AJ234" s="50" t="str">
        <f t="shared" si="220"/>
        <v>1+6.76724409391789i</v>
      </c>
      <c r="AK234" s="50">
        <f t="shared" si="240"/>
        <v>6.8407304161665774</v>
      </c>
      <c r="AL234" s="50">
        <f t="shared" si="241"/>
        <v>1.4240873908659826</v>
      </c>
      <c r="AM234" s="50" t="str">
        <f t="shared" si="221"/>
        <v>1+0.00817376933696747i</v>
      </c>
      <c r="AN234" s="50">
        <f t="shared" si="242"/>
        <v>1.0000334046946502</v>
      </c>
      <c r="AO234" s="50">
        <f t="shared" si="243"/>
        <v>8.1735873130445551E-3</v>
      </c>
      <c r="AP234" s="50" t="str">
        <f t="shared" si="222"/>
        <v>1-0.0235010035731363i</v>
      </c>
      <c r="AQ234" s="50">
        <f t="shared" si="244"/>
        <v>1.0002761104659776</v>
      </c>
      <c r="AR234" s="50">
        <f t="shared" si="245"/>
        <v>-2.3496678493703068E-2</v>
      </c>
      <c r="AS234" s="59" t="str">
        <f t="shared" si="246"/>
        <v>2.06013546403917-15.5897130250495i</v>
      </c>
      <c r="AT234" s="50">
        <f t="shared" si="247"/>
        <v>23.931948059099419</v>
      </c>
      <c r="AU234" s="61">
        <f t="shared" si="248"/>
        <v>-82.472145608163913</v>
      </c>
      <c r="AV234" s="32" t="str">
        <f t="shared" si="223"/>
        <v>-0.0000333333333333333</v>
      </c>
      <c r="AW234" s="32" t="str">
        <f t="shared" si="224"/>
        <v>0.000435934364638265i</v>
      </c>
      <c r="AX234" s="32">
        <f t="shared" si="249"/>
        <v>4.3593436463826502E-4</v>
      </c>
      <c r="AY234" s="32">
        <f t="shared" si="250"/>
        <v>1.5707963267948966</v>
      </c>
      <c r="AZ234" s="32" t="str">
        <f t="shared" si="225"/>
        <v>1+0.177855166128459i</v>
      </c>
      <c r="BA234" s="32">
        <f t="shared" si="251"/>
        <v>1.0156930934679933</v>
      </c>
      <c r="BB234" s="32">
        <f t="shared" si="252"/>
        <v>0.17601464188138966</v>
      </c>
      <c r="BC234" s="32" t="str">
        <f t="shared" si="226"/>
        <v>1+8.53704797416604i</v>
      </c>
      <c r="BD234" s="32">
        <f t="shared" si="253"/>
        <v>8.5954166922385138</v>
      </c>
      <c r="BE234" s="32">
        <f t="shared" si="254"/>
        <v>1.4541911915188175</v>
      </c>
      <c r="BF234" s="59" t="str">
        <f t="shared" si="255"/>
        <v>-0.619579419464246+0.186659510860402i</v>
      </c>
      <c r="BG234" s="50">
        <f t="shared" si="256"/>
        <v>-3.7807584869139936</v>
      </c>
      <c r="BH234" s="61">
        <f t="shared" si="257"/>
        <v>163.23412176681845</v>
      </c>
      <c r="BI234" s="59" t="str">
        <f t="shared" si="258"/>
        <v>0.358500779753479+1.63869926171622i</v>
      </c>
      <c r="BJ234" s="64">
        <f t="shared" si="259"/>
        <v>4.4930218944792397</v>
      </c>
      <c r="BK234" s="61">
        <f t="shared" si="260"/>
        <v>77.659734312064984</v>
      </c>
      <c r="BL234" s="59" t="str">
        <f t="shared" si="211"/>
        <v>1.63355067288268+10.0436092236981i</v>
      </c>
      <c r="BM234" s="64">
        <f t="shared" si="261"/>
        <v>20.151189572185434</v>
      </c>
      <c r="BN234" s="61">
        <f t="shared" si="212"/>
        <v>80.761976158654591</v>
      </c>
      <c r="BO234" s="50">
        <f t="shared" si="262"/>
        <v>4.4930218944792397</v>
      </c>
      <c r="BP234" s="61">
        <f t="shared" si="263"/>
        <v>77.659734312064984</v>
      </c>
    </row>
    <row r="235" spans="14:68" x14ac:dyDescent="0.25">
      <c r="N235" s="11">
        <v>17</v>
      </c>
      <c r="O235" s="51">
        <f t="shared" si="264"/>
        <v>1479.1083881682086</v>
      </c>
      <c r="P235" s="49" t="str">
        <f t="shared" si="214"/>
        <v>37.1583961085025</v>
      </c>
      <c r="Q235" s="18" t="str">
        <f t="shared" si="215"/>
        <v>1+7.28434695016809i</v>
      </c>
      <c r="R235" s="18">
        <f t="shared" si="227"/>
        <v>7.3526668964684605</v>
      </c>
      <c r="S235" s="18">
        <f t="shared" si="228"/>
        <v>1.4343684349277068</v>
      </c>
      <c r="T235" s="18" t="str">
        <f t="shared" si="216"/>
        <v>1+0.00836416088303812i</v>
      </c>
      <c r="U235" s="18">
        <f t="shared" si="229"/>
        <v>1.0000349789818741</v>
      </c>
      <c r="V235" s="18">
        <f t="shared" si="230"/>
        <v>8.3639658412591553E-3</v>
      </c>
      <c r="W235" s="32" t="str">
        <f t="shared" si="217"/>
        <v>1-0.0732106095809902i</v>
      </c>
      <c r="X235" s="18">
        <f t="shared" si="231"/>
        <v>1.0026763153456952</v>
      </c>
      <c r="Y235" s="18">
        <f t="shared" si="232"/>
        <v>-7.3080230694274037E-2</v>
      </c>
      <c r="Z235" s="32" t="str">
        <f t="shared" si="218"/>
        <v>0.999945305959401+0.0176266946016618i</v>
      </c>
      <c r="AA235" s="18">
        <f t="shared" si="233"/>
        <v>1.0001006525709402</v>
      </c>
      <c r="AB235" s="18">
        <f t="shared" si="234"/>
        <v>1.7625833230173273E-2</v>
      </c>
      <c r="AC235" s="32" t="str">
        <f>IMDIV(IMSUM(COMPLEX(0,2*PI()*O235*Constants!$B$61*Constants!$B$62),COMPLEX(1,0)),IMSUM(COMPLEX(0,2*PI()*O235*Constants!$B$61*Constants!$B$62),COMPLEX(2,0)))</f>
        <v>0.500172679077288+0.00929030250207886i</v>
      </c>
      <c r="AD235" s="18">
        <f t="shared" si="235"/>
        <v>0.50025895156002154</v>
      </c>
      <c r="AE235" s="18">
        <f t="shared" si="236"/>
        <v>1.8572054662893672E-2</v>
      </c>
      <c r="AF235" s="66" t="str">
        <f t="shared" si="237"/>
        <v>0.184009193356807-2.52808579426047i</v>
      </c>
      <c r="AG235" s="64">
        <f t="shared" si="238"/>
        <v>8.078783479928088</v>
      </c>
      <c r="AH235" s="61">
        <f t="shared" si="239"/>
        <v>-85.837011935491745</v>
      </c>
      <c r="AI235" s="50" t="str">
        <f t="shared" si="219"/>
        <v>107.538871525172</v>
      </c>
      <c r="AJ235" s="50" t="str">
        <f t="shared" si="220"/>
        <v>1+6.9248734583595i</v>
      </c>
      <c r="AK235" s="50">
        <f t="shared" si="240"/>
        <v>6.9967043966636089</v>
      </c>
      <c r="AL235" s="50">
        <f t="shared" si="241"/>
        <v>1.4273807713524866</v>
      </c>
      <c r="AM235" s="50" t="str">
        <f t="shared" si="221"/>
        <v>1+0.00836416088303812i</v>
      </c>
      <c r="AN235" s="50">
        <f t="shared" si="242"/>
        <v>1.0000349789818741</v>
      </c>
      <c r="AO235" s="50">
        <f t="shared" si="243"/>
        <v>8.3639658412591553E-3</v>
      </c>
      <c r="AP235" s="50" t="str">
        <f t="shared" si="222"/>
        <v>1-0.0240484122679553i</v>
      </c>
      <c r="AQ235" s="50">
        <f t="shared" si="244"/>
        <v>1.0002891212707501</v>
      </c>
      <c r="AR235" s="50">
        <f t="shared" si="245"/>
        <v>-2.4043777934188729E-2</v>
      </c>
      <c r="AS235" s="59" t="str">
        <f t="shared" si="246"/>
        <v>1.95858967336636-15.2496523395629i</v>
      </c>
      <c r="AT235" s="50">
        <f t="shared" si="247"/>
        <v>23.736253711027452</v>
      </c>
      <c r="AU235" s="61">
        <f t="shared" si="248"/>
        <v>-82.681281013108546</v>
      </c>
      <c r="AV235" s="32" t="str">
        <f t="shared" si="223"/>
        <v>-0.0000333333333333333</v>
      </c>
      <c r="AW235" s="32" t="str">
        <f t="shared" si="224"/>
        <v>0.000446088580428699i</v>
      </c>
      <c r="AX235" s="32">
        <f t="shared" si="249"/>
        <v>4.46088580428699E-4</v>
      </c>
      <c r="AY235" s="32">
        <f t="shared" si="250"/>
        <v>1.5707963267948966</v>
      </c>
      <c r="AZ235" s="32" t="str">
        <f t="shared" si="225"/>
        <v>1+0.181997945140181i</v>
      </c>
      <c r="BA235" s="32">
        <f t="shared" si="251"/>
        <v>1.0164267076554256</v>
      </c>
      <c r="BB235" s="32">
        <f t="shared" si="252"/>
        <v>0.1800275051811748</v>
      </c>
      <c r="BC235" s="32" t="str">
        <f t="shared" si="226"/>
        <v>1+8.73590136672872i</v>
      </c>
      <c r="BD235" s="32">
        <f t="shared" si="253"/>
        <v>8.7929501698356454</v>
      </c>
      <c r="BE235" s="32">
        <f t="shared" si="254"/>
        <v>1.4568222588267892</v>
      </c>
      <c r="BF235" s="59" t="str">
        <f t="shared" si="255"/>
        <v>-0.618685369322163+0.187323040539587i</v>
      </c>
      <c r="BG235" s="50">
        <f t="shared" si="256"/>
        <v>-3.7896763304461469</v>
      </c>
      <c r="BH235" s="61">
        <f t="shared" si="257"/>
        <v>163.15495068833943</v>
      </c>
      <c r="BI235" s="59" t="str">
        <f t="shared" si="258"/>
        <v>0.359724921975179+1.59855885488699i</v>
      </c>
      <c r="BJ235" s="64">
        <f t="shared" si="259"/>
        <v>4.2891071494819579</v>
      </c>
      <c r="BK235" s="61">
        <f t="shared" si="260"/>
        <v>77.317938752847695</v>
      </c>
      <c r="BL235" s="59" t="str">
        <f t="shared" si="211"/>
        <v>1.64486046800131+9.80162576252148i</v>
      </c>
      <c r="BM235" s="64">
        <f t="shared" si="261"/>
        <v>19.946577380581299</v>
      </c>
      <c r="BN235" s="61">
        <f t="shared" si="212"/>
        <v>80.473669675230852</v>
      </c>
      <c r="BO235" s="50">
        <f t="shared" si="262"/>
        <v>4.2891071494819579</v>
      </c>
      <c r="BP235" s="61">
        <f t="shared" si="263"/>
        <v>77.317938752847695</v>
      </c>
    </row>
    <row r="236" spans="14:68" x14ac:dyDescent="0.25">
      <c r="N236" s="11">
        <v>18</v>
      </c>
      <c r="O236" s="51">
        <f t="shared" si="264"/>
        <v>1513.5612484362093</v>
      </c>
      <c r="P236" s="49" t="str">
        <f t="shared" si="214"/>
        <v>37.1583961085025</v>
      </c>
      <c r="Q236" s="18" t="str">
        <f t="shared" si="215"/>
        <v>1+7.45402118744869i</v>
      </c>
      <c r="R236" s="18">
        <f t="shared" si="227"/>
        <v>7.5207999483388726</v>
      </c>
      <c r="S236" s="18">
        <f t="shared" si="228"/>
        <v>1.437436804441967</v>
      </c>
      <c r="T236" s="18" t="str">
        <f t="shared" si="216"/>
        <v>1+0.00855898721792171i</v>
      </c>
      <c r="U236" s="18">
        <f t="shared" si="229"/>
        <v>1.000036627460313</v>
      </c>
      <c r="V236" s="18">
        <f t="shared" si="230"/>
        <v>8.558778227303632E-3</v>
      </c>
      <c r="W236" s="32" t="str">
        <f t="shared" si="217"/>
        <v>1-0.0749159037448295i</v>
      </c>
      <c r="X236" s="18">
        <f t="shared" si="231"/>
        <v>1.0028022699584922</v>
      </c>
      <c r="Y236" s="18">
        <f t="shared" si="232"/>
        <v>-7.4776221326752546E-2</v>
      </c>
      <c r="Z236" s="32" t="str">
        <f t="shared" si="218"/>
        <v>0.999942728308681+0.0180372730629535i</v>
      </c>
      <c r="AA236" s="18">
        <f t="shared" si="233"/>
        <v>1.0001053960043194</v>
      </c>
      <c r="AB236" s="18">
        <f t="shared" si="234"/>
        <v>1.803635009149537E-2</v>
      </c>
      <c r="AC236" s="32" t="str">
        <f>IMDIV(IMSUM(COMPLEX(0,2*PI()*O236*Constants!$B$61*Constants!$B$62),COMPLEX(1,0)),IMSUM(COMPLEX(0,2*PI()*O236*Constants!$B$61*Constants!$B$62),COMPLEX(2,0)))</f>
        <v>0.500180814248505+0.00950654671582017i</v>
      </c>
      <c r="AD236" s="18">
        <f t="shared" si="235"/>
        <v>0.5002711478516001</v>
      </c>
      <c r="AE236" s="18">
        <f t="shared" si="236"/>
        <v>1.9003932157108359E-2</v>
      </c>
      <c r="AF236" s="66" t="str">
        <f t="shared" si="237"/>
        <v>0.168677329501156-2.47272440246157i</v>
      </c>
      <c r="AG236" s="64">
        <f t="shared" si="238"/>
        <v>7.883676490412407</v>
      </c>
      <c r="AH236" s="61">
        <f t="shared" si="239"/>
        <v>-86.097603862350496</v>
      </c>
      <c r="AI236" s="50" t="str">
        <f t="shared" si="219"/>
        <v>107.538871525172</v>
      </c>
      <c r="AJ236" s="50" t="str">
        <f t="shared" si="220"/>
        <v>1+7.08617448237026i</v>
      </c>
      <c r="AK236" s="50">
        <f t="shared" si="240"/>
        <v>7.1563865738650136</v>
      </c>
      <c r="AL236" s="50">
        <f t="shared" si="241"/>
        <v>1.4306022151402835</v>
      </c>
      <c r="AM236" s="50" t="str">
        <f t="shared" si="221"/>
        <v>1+0.00855898721792171i</v>
      </c>
      <c r="AN236" s="50">
        <f t="shared" si="242"/>
        <v>1.000036627460313</v>
      </c>
      <c r="AO236" s="50">
        <f t="shared" si="243"/>
        <v>8.558778227303632E-3</v>
      </c>
      <c r="AP236" s="50" t="str">
        <f t="shared" si="222"/>
        <v>1-0.0246085717492772i</v>
      </c>
      <c r="AQ236" s="50">
        <f t="shared" si="244"/>
        <v>1.0003027450744797</v>
      </c>
      <c r="AR236" s="50">
        <f t="shared" si="245"/>
        <v>-2.4603606052346301E-2</v>
      </c>
      <c r="AS236" s="59" t="str">
        <f t="shared" si="246"/>
        <v>1.86143151086868-14.9163826819474i</v>
      </c>
      <c r="AT236" s="50">
        <f t="shared" si="247"/>
        <v>23.540381000058996</v>
      </c>
      <c r="AU236" s="61">
        <f t="shared" si="248"/>
        <v>-82.886770006993856</v>
      </c>
      <c r="AV236" s="32" t="str">
        <f t="shared" si="223"/>
        <v>-0.0000333333333333333</v>
      </c>
      <c r="AW236" s="32" t="str">
        <f t="shared" si="224"/>
        <v>0.000456479318289158i</v>
      </c>
      <c r="AX236" s="32">
        <f t="shared" si="249"/>
        <v>4.5647931828915797E-4</v>
      </c>
      <c r="AY236" s="32">
        <f t="shared" si="250"/>
        <v>1.5707963267948966</v>
      </c>
      <c r="AZ236" s="32" t="str">
        <f t="shared" si="225"/>
        <v>1+0.186237221871445i</v>
      </c>
      <c r="BA236" s="32">
        <f t="shared" si="251"/>
        <v>1.0171943289314946</v>
      </c>
      <c r="BB236" s="32">
        <f t="shared" si="252"/>
        <v>0.18412778018792261</v>
      </c>
      <c r="BC236" s="32" t="str">
        <f t="shared" si="226"/>
        <v>1+8.93938664982936i</v>
      </c>
      <c r="BD236" s="32">
        <f t="shared" si="253"/>
        <v>8.9951450057877</v>
      </c>
      <c r="BE236" s="32">
        <f t="shared" si="254"/>
        <v>1.459394968047532</v>
      </c>
      <c r="BF236" s="59" t="str">
        <f t="shared" si="255"/>
        <v>-0.617751945211323+0.188071064497696i</v>
      </c>
      <c r="BG236" s="50">
        <f t="shared" si="256"/>
        <v>-3.7987624384348111</v>
      </c>
      <c r="BH236" s="61">
        <f t="shared" si="257"/>
        <v>163.06742761587279</v>
      </c>
      <c r="BI236" s="59" t="str">
        <f t="shared" si="258"/>
        <v>0.360847162167986+1.55925363450805i</v>
      </c>
      <c r="BJ236" s="64">
        <f t="shared" si="259"/>
        <v>4.0849140519775817</v>
      </c>
      <c r="BK236" s="61">
        <f t="shared" si="260"/>
        <v>76.969823753522292</v>
      </c>
      <c r="BL236" s="59" t="str">
        <f t="shared" si="211"/>
        <v>1.65543703273207+9.56470582302813i</v>
      </c>
      <c r="BM236" s="64">
        <f t="shared" si="261"/>
        <v>19.741618561624186</v>
      </c>
      <c r="BN236" s="61">
        <f t="shared" si="212"/>
        <v>80.180657608878917</v>
      </c>
      <c r="BO236" s="50">
        <f t="shared" si="262"/>
        <v>4.0849140519775817</v>
      </c>
      <c r="BP236" s="61">
        <f t="shared" si="263"/>
        <v>76.969823753522292</v>
      </c>
    </row>
    <row r="237" spans="14:68" x14ac:dyDescent="0.25">
      <c r="N237" s="11">
        <v>19</v>
      </c>
      <c r="O237" s="51">
        <f t="shared" si="264"/>
        <v>1548.8166189124822</v>
      </c>
      <c r="P237" s="49" t="str">
        <f t="shared" si="214"/>
        <v>37.1583961085025</v>
      </c>
      <c r="Q237" s="18" t="str">
        <f t="shared" si="215"/>
        <v>1+7.62764764542851i</v>
      </c>
      <c r="R237" s="18">
        <f t="shared" si="227"/>
        <v>7.692919381015968</v>
      </c>
      <c r="S237" s="18">
        <f t="shared" si="228"/>
        <v>1.4404377722700126</v>
      </c>
      <c r="T237" s="18" t="str">
        <f t="shared" si="216"/>
        <v>1+0.00875835164111983i</v>
      </c>
      <c r="U237" s="18">
        <f t="shared" si="229"/>
        <v>1.0000383536262345</v>
      </c>
      <c r="V237" s="18">
        <f t="shared" si="230"/>
        <v>8.7581277041017969E-3</v>
      </c>
      <c r="W237" s="32" t="str">
        <f t="shared" si="217"/>
        <v>1-0.0766609193124635i</v>
      </c>
      <c r="X237" s="18">
        <f t="shared" si="231"/>
        <v>1.0029341436753623</v>
      </c>
      <c r="Y237" s="18">
        <f t="shared" si="232"/>
        <v>-7.6511270543903012E-2</v>
      </c>
      <c r="Z237" s="32" t="str">
        <f t="shared" si="218"/>
        <v>0.999940029177025+0.0184574151251747i</v>
      </c>
      <c r="AA237" s="18">
        <f t="shared" si="233"/>
        <v>1.0001103629718335</v>
      </c>
      <c r="AB237" s="18">
        <f t="shared" si="234"/>
        <v>1.8456426148735893E-2</v>
      </c>
      <c r="AC237" s="32" t="str">
        <f>IMDIV(IMSUM(COMPLEX(0,2*PI()*O237*Constants!$B$61*Constants!$B$62),COMPLEX(1,0)),IMSUM(COMPLEX(0,2*PI()*O237*Constants!$B$61*Constants!$B$62),COMPLEX(2,0)))</f>
        <v>0.500189332534705+0.00972781684365303i</v>
      </c>
      <c r="AD237" s="18">
        <f t="shared" si="235"/>
        <v>0.50028391819251727</v>
      </c>
      <c r="AE237" s="18">
        <f t="shared" si="236"/>
        <v>1.9445817856828661E-2</v>
      </c>
      <c r="AF237" s="66" t="str">
        <f t="shared" si="237"/>
        <v>0.154011205556689-2.41849206057363i</v>
      </c>
      <c r="AG237" s="64">
        <f t="shared" si="238"/>
        <v>7.6884693398731887</v>
      </c>
      <c r="AH237" s="61">
        <f t="shared" si="239"/>
        <v>-86.356286166606793</v>
      </c>
      <c r="AI237" s="50" t="str">
        <f t="shared" si="219"/>
        <v>107.538871525172</v>
      </c>
      <c r="AJ237" s="50" t="str">
        <f t="shared" si="220"/>
        <v>1+7.25123268988819i</v>
      </c>
      <c r="AK237" s="50">
        <f t="shared" si="240"/>
        <v>7.3198617147390923</v>
      </c>
      <c r="AL237" s="50">
        <f t="shared" si="241"/>
        <v>1.4337531626923301</v>
      </c>
      <c r="AM237" s="50" t="str">
        <f t="shared" si="221"/>
        <v>1+0.00875835164111983i</v>
      </c>
      <c r="AN237" s="50">
        <f t="shared" si="242"/>
        <v>1.0000383536262345</v>
      </c>
      <c r="AO237" s="50">
        <f t="shared" si="243"/>
        <v>8.7581277041017969E-3</v>
      </c>
      <c r="AP237" s="50" t="str">
        <f t="shared" si="222"/>
        <v>1-0.0251817790210735i</v>
      </c>
      <c r="AQ237" s="50">
        <f t="shared" si="244"/>
        <v>1.0003170107494255</v>
      </c>
      <c r="AR237" s="50">
        <f t="shared" si="245"/>
        <v>-2.5176458272015211E-2</v>
      </c>
      <c r="AS237" s="59" t="str">
        <f t="shared" si="246"/>
        <v>1.76847911438014-14.5898104125936i</v>
      </c>
      <c r="AT237" s="50">
        <f t="shared" si="247"/>
        <v>23.344338178905577</v>
      </c>
      <c r="AU237" s="61">
        <f t="shared" si="248"/>
        <v>-83.088706133996254</v>
      </c>
      <c r="AV237" s="32" t="str">
        <f t="shared" si="223"/>
        <v>-0.0000333333333333333</v>
      </c>
      <c r="AW237" s="32" t="str">
        <f t="shared" si="224"/>
        <v>0.000467112087526391i</v>
      </c>
      <c r="AX237" s="32">
        <f t="shared" si="249"/>
        <v>4.6711208752639102E-4</v>
      </c>
      <c r="AY237" s="32">
        <f t="shared" si="250"/>
        <v>1.5707963267948966</v>
      </c>
      <c r="AZ237" s="32" t="str">
        <f t="shared" si="225"/>
        <v>1+0.190575244042885i</v>
      </c>
      <c r="BA237" s="32">
        <f t="shared" si="251"/>
        <v>1.0179975066973421</v>
      </c>
      <c r="BB237" s="32">
        <f t="shared" si="252"/>
        <v>0.18831708917232814</v>
      </c>
      <c r="BC237" s="32" t="str">
        <f t="shared" si="226"/>
        <v>1+9.1476117140585i</v>
      </c>
      <c r="BD237" s="32">
        <f t="shared" si="253"/>
        <v>9.2021084579122583</v>
      </c>
      <c r="BE237" s="32">
        <f t="shared" si="254"/>
        <v>1.4619105469651223</v>
      </c>
      <c r="BF237" s="59" t="str">
        <f t="shared" si="255"/>
        <v>-0.616777544208529+0.188902990784831i</v>
      </c>
      <c r="BG237" s="50">
        <f t="shared" si="256"/>
        <v>-3.8080345425979552</v>
      </c>
      <c r="BH237" s="61">
        <f t="shared" si="257"/>
        <v>162.97152994700008</v>
      </c>
      <c r="BI237" s="59" t="str">
        <f t="shared" si="258"/>
        <v>0.361869730287878+1.52076477115246i</v>
      </c>
      <c r="BJ237" s="64">
        <f t="shared" si="259"/>
        <v>3.8804347972752069</v>
      </c>
      <c r="BK237" s="61">
        <f t="shared" si="260"/>
        <v>76.615243780393243</v>
      </c>
      <c r="BL237" s="59" t="str">
        <f t="shared" si="211"/>
        <v>1.66530061677114+9.33273843059442i</v>
      </c>
      <c r="BM237" s="64">
        <f t="shared" si="261"/>
        <v>19.536303636307615</v>
      </c>
      <c r="BN237" s="61">
        <f t="shared" si="212"/>
        <v>79.882823813003839</v>
      </c>
      <c r="BO237" s="50">
        <f t="shared" si="262"/>
        <v>3.8804347972752069</v>
      </c>
      <c r="BP237" s="61">
        <f t="shared" si="263"/>
        <v>76.615243780393243</v>
      </c>
    </row>
    <row r="238" spans="14:68" x14ac:dyDescent="0.25">
      <c r="N238" s="11">
        <v>20</v>
      </c>
      <c r="O238" s="51">
        <f t="shared" si="264"/>
        <v>1584.8931924611156</v>
      </c>
      <c r="P238" s="49" t="str">
        <f t="shared" si="214"/>
        <v>37.1583961085025</v>
      </c>
      <c r="Q238" s="18" t="str">
        <f t="shared" si="215"/>
        <v>1+7.8053183831538i</v>
      </c>
      <c r="R238" s="18">
        <f t="shared" si="227"/>
        <v>7.8691165363335829</v>
      </c>
      <c r="S238" s="18">
        <f t="shared" si="228"/>
        <v>1.443372713241122</v>
      </c>
      <c r="T238" s="18" t="str">
        <f t="shared" si="216"/>
        <v>1+0.00896235985828858i</v>
      </c>
      <c r="U238" s="18">
        <f t="shared" si="229"/>
        <v>1.0000401611406562</v>
      </c>
      <c r="V238" s="18">
        <f t="shared" si="230"/>
        <v>8.9621199059710492E-3</v>
      </c>
      <c r="W238" s="32" t="str">
        <f t="shared" si="217"/>
        <v>1-0.0784465815142443i</v>
      </c>
      <c r="X238" s="18">
        <f t="shared" si="231"/>
        <v>1.0030722138267369</v>
      </c>
      <c r="Y238" s="18">
        <f t="shared" si="232"/>
        <v>-7.8286256482931457E-2</v>
      </c>
      <c r="Z238" s="32" t="str">
        <f t="shared" si="218"/>
        <v>0.999937202839212+0.0188873435532081i</v>
      </c>
      <c r="AA238" s="18">
        <f t="shared" si="233"/>
        <v>1.0001155640066823</v>
      </c>
      <c r="AB238" s="18">
        <f t="shared" si="234"/>
        <v>1.8886283851804502E-2</v>
      </c>
      <c r="AC238" s="32" t="str">
        <f>IMDIV(IMSUM(COMPLEX(0,2*PI()*O238*Constants!$B$61*Constants!$B$62),COMPLEX(1,0)),IMSUM(COMPLEX(0,2*PI()*O238*Constants!$B$61*Constants!$B$62),COMPLEX(2,0)))</f>
        <v>0.500198251964172+0.00995422916377501i</v>
      </c>
      <c r="AD238" s="18">
        <f t="shared" si="235"/>
        <v>0.50029728956517272</v>
      </c>
      <c r="AE238" s="18">
        <f t="shared" si="236"/>
        <v>1.9897941207218144E-2</v>
      </c>
      <c r="AF238" s="66" t="str">
        <f t="shared" si="237"/>
        <v>0.139982884839289-2.3653717550667i</v>
      </c>
      <c r="AG238" s="64">
        <f t="shared" si="238"/>
        <v>7.4931717744418975</v>
      </c>
      <c r="AH238" s="61">
        <f t="shared" si="239"/>
        <v>-86.613181480532504</v>
      </c>
      <c r="AI238" s="50" t="str">
        <f t="shared" si="219"/>
        <v>107.538871525172</v>
      </c>
      <c r="AJ238" s="50" t="str">
        <f t="shared" si="220"/>
        <v>1+7.42013559695971i</v>
      </c>
      <c r="AK238" s="50">
        <f t="shared" si="240"/>
        <v>7.4872165907811583</v>
      </c>
      <c r="AL238" s="50">
        <f t="shared" si="241"/>
        <v>1.4368350342786613</v>
      </c>
      <c r="AM238" s="50" t="str">
        <f t="shared" si="221"/>
        <v>1+0.00896235985828858i</v>
      </c>
      <c r="AN238" s="50">
        <f t="shared" si="242"/>
        <v>1.0000401611406562</v>
      </c>
      <c r="AO238" s="50">
        <f t="shared" si="243"/>
        <v>8.9621199059710492E-3</v>
      </c>
      <c r="AP238" s="50" t="str">
        <f t="shared" si="222"/>
        <v>1-0.025768338005427i</v>
      </c>
      <c r="AQ238" s="50">
        <f t="shared" si="244"/>
        <v>1.0003319485268687</v>
      </c>
      <c r="AR238" s="50">
        <f t="shared" si="245"/>
        <v>-2.5762636822267457E-2</v>
      </c>
      <c r="AS238" s="59" t="str">
        <f t="shared" si="246"/>
        <v>1.6795574910484-14.2698402512885i</v>
      </c>
      <c r="AT238" s="50">
        <f t="shared" si="247"/>
        <v>23.14813318242615</v>
      </c>
      <c r="AU238" s="61">
        <f t="shared" si="248"/>
        <v>-83.287182033644171</v>
      </c>
      <c r="AV238" s="32" t="str">
        <f t="shared" si="223"/>
        <v>-0.0000333333333333333</v>
      </c>
      <c r="AW238" s="32" t="str">
        <f t="shared" si="224"/>
        <v>0.00047799252577539i</v>
      </c>
      <c r="AX238" s="32">
        <f t="shared" si="249"/>
        <v>4.7799252577539002E-4</v>
      </c>
      <c r="AY238" s="32">
        <f t="shared" si="250"/>
        <v>1.5707963267948966</v>
      </c>
      <c r="AZ238" s="32" t="str">
        <f t="shared" si="225"/>
        <v>1+0.195014311731279i</v>
      </c>
      <c r="BA238" s="32">
        <f t="shared" si="251"/>
        <v>1.0188378584348072</v>
      </c>
      <c r="BB238" s="32">
        <f t="shared" si="252"/>
        <v>0.19259706488584791</v>
      </c>
      <c r="BC238" s="32" t="str">
        <f t="shared" si="226"/>
        <v>1+9.36068696310141i</v>
      </c>
      <c r="BD238" s="32">
        <f t="shared" si="253"/>
        <v>9.4139503090454362</v>
      </c>
      <c r="BE238" s="32">
        <f t="shared" si="254"/>
        <v>1.4643702019522398</v>
      </c>
      <c r="BF238" s="59" t="str">
        <f t="shared" si="255"/>
        <v>-0.615760510296983+0.189818209505588i</v>
      </c>
      <c r="BG238" s="50">
        <f t="shared" si="256"/>
        <v>-3.8175106634831395</v>
      </c>
      <c r="BH238" s="61">
        <f t="shared" si="257"/>
        <v>162.86723325201706</v>
      </c>
      <c r="BI238" s="59" t="str">
        <f t="shared" si="258"/>
        <v>0.362794698760367+1.48307381950356i</v>
      </c>
      <c r="BJ238" s="64">
        <f t="shared" si="259"/>
        <v>3.6756611109587478</v>
      </c>
      <c r="BK238" s="61">
        <f t="shared" si="260"/>
        <v>76.254051771484527</v>
      </c>
      <c r="BL238" s="59" t="str">
        <f t="shared" si="211"/>
        <v>1.67447034866927+9.10561471070234i</v>
      </c>
      <c r="BM238" s="64">
        <f t="shared" si="261"/>
        <v>19.330622518943013</v>
      </c>
      <c r="BN238" s="61">
        <f t="shared" si="212"/>
        <v>79.580051218372887</v>
      </c>
      <c r="BO238" s="50">
        <f t="shared" si="262"/>
        <v>3.6756611109587478</v>
      </c>
      <c r="BP238" s="61">
        <f t="shared" si="263"/>
        <v>76.254051771484527</v>
      </c>
    </row>
    <row r="239" spans="14:68" x14ac:dyDescent="0.25">
      <c r="N239" s="11">
        <v>21</v>
      </c>
      <c r="O239" s="51">
        <f t="shared" si="264"/>
        <v>1621.8100973589308</v>
      </c>
      <c r="P239" s="49" t="str">
        <f t="shared" si="214"/>
        <v>37.1583961085025</v>
      </c>
      <c r="Q239" s="18" t="str">
        <f t="shared" si="215"/>
        <v>1+7.9871276040014i</v>
      </c>
      <c r="R239" s="18">
        <f t="shared" si="227"/>
        <v>8.0494849128749326</v>
      </c>
      <c r="S239" s="18">
        <f t="shared" si="228"/>
        <v>1.4462429811425721</v>
      </c>
      <c r="T239" s="18" t="str">
        <f t="shared" si="216"/>
        <v>1+0.009171120037285i</v>
      </c>
      <c r="U239" s="18">
        <f t="shared" si="229"/>
        <v>1.0000420538371066</v>
      </c>
      <c r="V239" s="18">
        <f t="shared" si="230"/>
        <v>9.1708629243283778E-3</v>
      </c>
      <c r="W239" s="32" t="str">
        <f t="shared" si="217"/>
        <v>1-0.0802738371319068i</v>
      </c>
      <c r="X239" s="18">
        <f t="shared" si="231"/>
        <v>1.0032167706572095</v>
      </c>
      <c r="Y239" s="18">
        <f t="shared" si="232"/>
        <v>-8.0102075502068534E-2</v>
      </c>
      <c r="Z239" s="32" t="str">
        <f t="shared" si="218"/>
        <v>0.999934243300203+0.0193272863007969i</v>
      </c>
      <c r="AA239" s="18">
        <f t="shared" si="233"/>
        <v>1.0001210101383244</v>
      </c>
      <c r="AB239" s="18">
        <f t="shared" si="234"/>
        <v>1.9326150816953207E-2</v>
      </c>
      <c r="AC239" s="32" t="str">
        <f>IMDIV(IMSUM(COMPLEX(0,2*PI()*O239*Constants!$B$61*Constants!$B$62),COMPLEX(1,0)),IMSUM(COMPLEX(0,2*PI()*O239*Constants!$B$61*Constants!$B$62),COMPLEX(2,0)))</f>
        <v>0.500207591412203+0.0101859026064055i</v>
      </c>
      <c r="AD239" s="18">
        <f t="shared" si="235"/>
        <v>0.50031129021670551</v>
      </c>
      <c r="AE239" s="18">
        <f t="shared" si="236"/>
        <v>2.0360536736021815E-2</v>
      </c>
      <c r="AF239" s="66" t="str">
        <f t="shared" si="237"/>
        <v>0.126565513455372-2.31334632130794i</v>
      </c>
      <c r="AG239" s="64">
        <f t="shared" si="238"/>
        <v>7.2977933766496754</v>
      </c>
      <c r="AH239" s="61">
        <f t="shared" si="239"/>
        <v>-86.868412138787065</v>
      </c>
      <c r="AI239" s="50" t="str">
        <f t="shared" si="219"/>
        <v>107.538871525172</v>
      </c>
      <c r="AJ239" s="50" t="str">
        <f t="shared" si="220"/>
        <v>1+7.59297275814182i</v>
      </c>
      <c r="AK239" s="50">
        <f t="shared" si="240"/>
        <v>7.6585400244357142</v>
      </c>
      <c r="AL239" s="50">
        <f t="shared" si="241"/>
        <v>1.439849229653718</v>
      </c>
      <c r="AM239" s="50" t="str">
        <f t="shared" si="221"/>
        <v>1+0.009171120037285i</v>
      </c>
      <c r="AN239" s="50">
        <f t="shared" si="242"/>
        <v>1.0000420538371066</v>
      </c>
      <c r="AO239" s="50">
        <f t="shared" si="243"/>
        <v>9.1708629243283778E-3</v>
      </c>
      <c r="AP239" s="50" t="str">
        <f t="shared" si="222"/>
        <v>1-0.0263685597036752i</v>
      </c>
      <c r="AQ239" s="50">
        <f t="shared" si="244"/>
        <v>1.0003475900609979</v>
      </c>
      <c r="AR239" s="50">
        <f t="shared" si="245"/>
        <v>-2.6362450890493987E-2</v>
      </c>
      <c r="AS239" s="59" t="str">
        <f t="shared" si="246"/>
        <v>1.5944983166981-13.9563755364375i</v>
      </c>
      <c r="AT239" s="50">
        <f t="shared" si="247"/>
        <v>22.951773640807517</v>
      </c>
      <c r="AU239" s="61">
        <f t="shared" si="248"/>
        <v>-83.482289427910047</v>
      </c>
      <c r="AV239" s="32" t="str">
        <f t="shared" si="223"/>
        <v>-0.0000333333333333333</v>
      </c>
      <c r="AW239" s="32" t="str">
        <f t="shared" si="224"/>
        <v>0.000489126401988534i</v>
      </c>
      <c r="AX239" s="32">
        <f t="shared" si="249"/>
        <v>4.8912640198853403E-4</v>
      </c>
      <c r="AY239" s="32">
        <f t="shared" si="250"/>
        <v>1.5707963267948966</v>
      </c>
      <c r="AZ239" s="32" t="str">
        <f t="shared" si="225"/>
        <v>1+0.199556778589072i</v>
      </c>
      <c r="BA239" s="32">
        <f t="shared" si="251"/>
        <v>1.0197170724670876</v>
      </c>
      <c r="BB239" s="32">
        <f t="shared" si="252"/>
        <v>0.19696934911407801</v>
      </c>
      <c r="BC239" s="32" t="str">
        <f t="shared" si="226"/>
        <v>1+9.57872537227546i</v>
      </c>
      <c r="BD239" s="32">
        <f t="shared" si="253"/>
        <v>9.6307829254673596</v>
      </c>
      <c r="BE239" s="32">
        <f t="shared" si="254"/>
        <v>1.4667751180403417</v>
      </c>
      <c r="BF239" s="59" t="str">
        <f t="shared" si="255"/>
        <v>-0.614699133762479+0.190816088957363i</v>
      </c>
      <c r="BG239" s="50">
        <f t="shared" si="256"/>
        <v>-3.8272091361556559</v>
      </c>
      <c r="BH239" s="61">
        <f t="shared" si="257"/>
        <v>162.75451136083916</v>
      </c>
      <c r="BI239" s="59" t="str">
        <f t="shared" si="258"/>
        <v>0.363623985950664+1.44616271607504i</v>
      </c>
      <c r="BJ239" s="64">
        <f t="shared" si="259"/>
        <v>3.4705842404940062</v>
      </c>
      <c r="BK239" s="61">
        <f t="shared" si="260"/>
        <v>75.886099222052081</v>
      </c>
      <c r="BL239" s="59" t="str">
        <f t="shared" si="211"/>
        <v>1.68296426182317+8.88322788535342i</v>
      </c>
      <c r="BM239" s="64">
        <f t="shared" si="261"/>
        <v>19.124564504651865</v>
      </c>
      <c r="BN239" s="61">
        <f t="shared" si="212"/>
        <v>79.272221932929156</v>
      </c>
      <c r="BO239" s="50">
        <f t="shared" si="262"/>
        <v>3.4705842404940062</v>
      </c>
      <c r="BP239" s="61">
        <f t="shared" si="263"/>
        <v>75.886099222052081</v>
      </c>
    </row>
    <row r="240" spans="14:68" x14ac:dyDescent="0.25">
      <c r="N240" s="11">
        <v>22</v>
      </c>
      <c r="O240" s="51">
        <f t="shared" si="264"/>
        <v>1659.5869074375626</v>
      </c>
      <c r="P240" s="49" t="str">
        <f t="shared" si="214"/>
        <v>37.1583961085025</v>
      </c>
      <c r="Q240" s="18" t="str">
        <f t="shared" si="215"/>
        <v>1+8.17317170562683i</v>
      </c>
      <c r="R240" s="18">
        <f t="shared" si="227"/>
        <v>8.2341202158857865</v>
      </c>
      <c r="S240" s="18">
        <f t="shared" si="228"/>
        <v>1.4490499085553281</v>
      </c>
      <c r="T240" s="18" t="str">
        <f t="shared" si="216"/>
        <v>1+0.00938474286551938i</v>
      </c>
      <c r="U240" s="18">
        <f t="shared" si="229"/>
        <v>1.0000440357297533</v>
      </c>
      <c r="V240" s="18">
        <f t="shared" si="230"/>
        <v>9.3844673646779307E-3</v>
      </c>
      <c r="W240" s="32" t="str">
        <f t="shared" si="217"/>
        <v>1-0.0821436550005671i</v>
      </c>
      <c r="X240" s="18">
        <f t="shared" si="231"/>
        <v>1.0033681179192671</v>
      </c>
      <c r="Y240" s="18">
        <f t="shared" si="232"/>
        <v>-8.1959642448938844E-2</v>
      </c>
      <c r="Z240" s="32" t="str">
        <f t="shared" si="218"/>
        <v>0.999931144282417+0.0197774766314093i</v>
      </c>
      <c r="AA240" s="18">
        <f t="shared" si="233"/>
        <v>1.0001267129158435</v>
      </c>
      <c r="AB240" s="18">
        <f t="shared" si="234"/>
        <v>1.9776259946031566E-2</v>
      </c>
      <c r="AC240" s="32" t="str">
        <f>IMDIV(IMSUM(COMPLEX(0,2*PI()*O240*Constants!$B$61*Constants!$B$62),COMPLEX(1,0)),IMSUM(COMPLEX(0,2*PI()*O240*Constants!$B$61*Constants!$B$62),COMPLEX(2,0)))</f>
        <v>0.500217370640765+0.0104229588115324i</v>
      </c>
      <c r="AD240" s="18">
        <f t="shared" si="235"/>
        <v>0.50032594971792865</v>
      </c>
      <c r="AE240" s="18">
        <f t="shared" si="236"/>
        <v>2.083384415334881E-2</v>
      </c>
      <c r="AF240" s="66" t="str">
        <f t="shared" si="237"/>
        <v>0.113733285970251-2.26239847937377i</v>
      </c>
      <c r="AG240" s="64">
        <f t="shared" si="238"/>
        <v>7.1023435825919172</v>
      </c>
      <c r="AH240" s="61">
        <f t="shared" si="239"/>
        <v>-87.122100182230369</v>
      </c>
      <c r="AI240" s="50" t="str">
        <f t="shared" si="219"/>
        <v>107.538871525172</v>
      </c>
      <c r="AJ240" s="50" t="str">
        <f t="shared" si="220"/>
        <v>1+7.76983581398522i</v>
      </c>
      <c r="AK240" s="50">
        <f t="shared" si="240"/>
        <v>7.8339229365808389</v>
      </c>
      <c r="AL240" s="50">
        <f t="shared" si="241"/>
        <v>1.4427971277871527</v>
      </c>
      <c r="AM240" s="50" t="str">
        <f t="shared" si="221"/>
        <v>1+0.00938474286551938i</v>
      </c>
      <c r="AN240" s="50">
        <f t="shared" si="242"/>
        <v>1.0000440357297533</v>
      </c>
      <c r="AO240" s="50">
        <f t="shared" si="243"/>
        <v>9.3844673646779307E-3</v>
      </c>
      <c r="AP240" s="50" t="str">
        <f t="shared" si="222"/>
        <v>1-0.0269827623613076i</v>
      </c>
      <c r="AQ240" s="50">
        <f t="shared" si="244"/>
        <v>1.0003639684957903</v>
      </c>
      <c r="AR240" s="50">
        <f t="shared" si="245"/>
        <v>-2.6976216778670709E-2</v>
      </c>
      <c r="AS240" s="59" t="str">
        <f t="shared" si="246"/>
        <v>1.5131397355704-13.6493184666541i</v>
      </c>
      <c r="AT240" s="50">
        <f t="shared" si="247"/>
        <v>22.755266892400911</v>
      </c>
      <c r="AU240" s="61">
        <f t="shared" si="248"/>
        <v>-83.674119111474695</v>
      </c>
      <c r="AV240" s="32" t="str">
        <f t="shared" si="223"/>
        <v>-0.0000333333333333333</v>
      </c>
      <c r="AW240" s="32" t="str">
        <f t="shared" si="224"/>
        <v>0.000500519619494367i</v>
      </c>
      <c r="AX240" s="32">
        <f t="shared" si="249"/>
        <v>5.0051961949436699E-4</v>
      </c>
      <c r="AY240" s="32">
        <f t="shared" si="250"/>
        <v>1.5707963267948966</v>
      </c>
      <c r="AZ240" s="32" t="str">
        <f t="shared" si="225"/>
        <v>1+0.20420505309232i</v>
      </c>
      <c r="BA240" s="32">
        <f t="shared" si="251"/>
        <v>1.0206369108103219</v>
      </c>
      <c r="BB240" s="32">
        <f t="shared" si="252"/>
        <v>0.20143559110471285</v>
      </c>
      <c r="BC240" s="32" t="str">
        <f t="shared" si="226"/>
        <v>1+9.80184254843136i</v>
      </c>
      <c r="BD240" s="32">
        <f t="shared" si="253"/>
        <v>9.8527213166840042</v>
      </c>
      <c r="BE240" s="32">
        <f t="shared" si="254"/>
        <v>1.4691264590140729</v>
      </c>
      <c r="BF240" s="59" t="str">
        <f t="shared" si="255"/>
        <v>-0.613591650708236+0.191895971603727i</v>
      </c>
      <c r="BG240" s="50">
        <f t="shared" si="256"/>
        <v>-3.8371486357351885</v>
      </c>
      <c r="BH240" s="61">
        <f t="shared" si="257"/>
        <v>162.63333645848263</v>
      </c>
      <c r="BI240" s="59" t="str">
        <f t="shared" si="258"/>
        <v>0.364359359675266+1.4100137769337i</v>
      </c>
      <c r="BJ240" s="64">
        <f t="shared" si="259"/>
        <v>3.2651949468567265</v>
      </c>
      <c r="BK240" s="61">
        <f t="shared" si="260"/>
        <v>75.511236276252262</v>
      </c>
      <c r="BL240" s="59" t="str">
        <f t="shared" si="211"/>
        <v>1.69079932078642+8.66547326872618i</v>
      </c>
      <c r="BM240" s="64">
        <f t="shared" si="261"/>
        <v>18.918118256665718</v>
      </c>
      <c r="BN240" s="61">
        <f t="shared" si="212"/>
        <v>78.959217347007908</v>
      </c>
      <c r="BO240" s="50">
        <f t="shared" si="262"/>
        <v>3.2651949468567265</v>
      </c>
      <c r="BP240" s="61">
        <f t="shared" si="263"/>
        <v>75.511236276252262</v>
      </c>
    </row>
    <row r="241" spans="14:68" x14ac:dyDescent="0.25">
      <c r="N241" s="11">
        <v>23</v>
      </c>
      <c r="O241" s="51">
        <f t="shared" si="264"/>
        <v>1698.2436524617447</v>
      </c>
      <c r="P241" s="49" t="str">
        <f t="shared" si="214"/>
        <v>37.1583961085025</v>
      </c>
      <c r="Q241" s="18" t="str">
        <f t="shared" si="215"/>
        <v>1+8.36354933107524i</v>
      </c>
      <c r="R241" s="18">
        <f t="shared" si="227"/>
        <v>8.4231204083361586</v>
      </c>
      <c r="S241" s="18">
        <f t="shared" si="228"/>
        <v>1.4517948067321005</v>
      </c>
      <c r="T241" s="18" t="str">
        <f t="shared" si="216"/>
        <v>1+0.00960334160864275i</v>
      </c>
      <c r="U241" s="18">
        <f t="shared" si="229"/>
        <v>1.000046111021913</v>
      </c>
      <c r="V241" s="18">
        <f t="shared" si="230"/>
        <v>9.6030464049076687E-3</v>
      </c>
      <c r="W241" s="32" t="str">
        <f t="shared" si="217"/>
        <v>1-0.084057026522408i</v>
      </c>
      <c r="X241" s="18">
        <f t="shared" si="231"/>
        <v>1.0035265734935916</v>
      </c>
      <c r="Y241" s="18">
        <f t="shared" si="232"/>
        <v>-8.3859890924456185E-2</v>
      </c>
      <c r="Z241" s="32" t="str">
        <f t="shared" si="218"/>
        <v>0.999927899212422+0.0202381532419175i</v>
      </c>
      <c r="AA241" s="18">
        <f t="shared" si="233"/>
        <v>1.0001326844324261</v>
      </c>
      <c r="AB241" s="18">
        <f t="shared" si="234"/>
        <v>2.02368495484412E-2</v>
      </c>
      <c r="AC241" s="32" t="str">
        <f>IMDIV(IMSUM(COMPLEX(0,2*PI()*O241*Constants!$B$61*Constants!$B$62),COMPLEX(1,0)),IMSUM(COMPLEX(0,2*PI()*O241*Constants!$B$61*Constants!$B$62),COMPLEX(2,0)))</f>
        <v>0.500227610340007+0.010665522187717i</v>
      </c>
      <c r="AD241" s="18">
        <f t="shared" si="235"/>
        <v>0.50034129902498603</v>
      </c>
      <c r="AE241" s="18">
        <f t="shared" si="236"/>
        <v>2.1318108452463035E-2</v>
      </c>
      <c r="AF241" s="66" t="str">
        <f t="shared" si="237"/>
        <v>0.101461411450972-2.2125108672704i</v>
      </c>
      <c r="AG241" s="64">
        <f t="shared" si="238"/>
        <v>6.9068316989767524</v>
      </c>
      <c r="AH241" s="61">
        <f t="shared" si="239"/>
        <v>-87.374367363928286</v>
      </c>
      <c r="AI241" s="50" t="str">
        <f t="shared" si="219"/>
        <v>107.538871525172</v>
      </c>
      <c r="AJ241" s="50" t="str">
        <f t="shared" si="220"/>
        <v>1+7.95081853962307i</v>
      </c>
      <c r="AK241" s="50">
        <f t="shared" si="240"/>
        <v>8.013458395100951</v>
      </c>
      <c r="AL241" s="50">
        <f t="shared" si="241"/>
        <v>1.4456800866444313</v>
      </c>
      <c r="AM241" s="50" t="str">
        <f t="shared" si="221"/>
        <v>1+0.00960334160864275i</v>
      </c>
      <c r="AN241" s="50">
        <f t="shared" si="242"/>
        <v>1.000046111021913</v>
      </c>
      <c r="AO241" s="50">
        <f t="shared" si="243"/>
        <v>9.6030464049076687E-3</v>
      </c>
      <c r="AP241" s="50" t="str">
        <f t="shared" si="222"/>
        <v>1-0.0276112716367029i</v>
      </c>
      <c r="AQ241" s="50">
        <f t="shared" si="244"/>
        <v>1.0003811185350291</v>
      </c>
      <c r="AR241" s="50">
        <f t="shared" si="245"/>
        <v>-2.7604258062849281E-2</v>
      </c>
      <c r="AS241" s="59" t="str">
        <f t="shared" si="246"/>
        <v>1.43532616107428-13.3485703255972i</v>
      </c>
      <c r="AT241" s="50">
        <f t="shared" si="247"/>
        <v>22.558619996218809</v>
      </c>
      <c r="AU241" s="61">
        <f t="shared" si="248"/>
        <v>-83.8627609449548</v>
      </c>
      <c r="AV241" s="32" t="str">
        <f t="shared" si="223"/>
        <v>-0.0000333333333333333</v>
      </c>
      <c r="AW241" s="32" t="str">
        <f t="shared" si="224"/>
        <v>0.000512178219127614i</v>
      </c>
      <c r="AX241" s="32">
        <f t="shared" si="249"/>
        <v>5.1217821912761402E-4</v>
      </c>
      <c r="AY241" s="32">
        <f t="shared" si="250"/>
        <v>1.5707963267948966</v>
      </c>
      <c r="AZ241" s="32" t="str">
        <f t="shared" si="225"/>
        <v>1+0.208961599817689i</v>
      </c>
      <c r="BA241" s="32">
        <f t="shared" si="251"/>
        <v>1.0215992121171433</v>
      </c>
      <c r="BB241" s="32">
        <f t="shared" si="252"/>
        <v>0.20599744586367966</v>
      </c>
      <c r="BC241" s="32" t="str">
        <f t="shared" si="226"/>
        <v>1+10.0301567912491i</v>
      </c>
      <c r="BD241" s="32">
        <f t="shared" si="253"/>
        <v>10.079883196597095</v>
      </c>
      <c r="BE241" s="32">
        <f t="shared" si="254"/>
        <v>1.4714253675278346</v>
      </c>
      <c r="BF241" s="59" t="str">
        <f t="shared" si="255"/>
        <v>-0.612436242703419+0.193057169879795i</v>
      </c>
      <c r="BG241" s="50">
        <f t="shared" si="256"/>
        <v>-3.8473482027498678</v>
      </c>
      <c r="BH241" s="61">
        <f t="shared" si="257"/>
        <v>162.50367918936746</v>
      </c>
      <c r="BI241" s="59" t="str">
        <f t="shared" si="258"/>
        <v>0.365002440755095+1.3746096954383i</v>
      </c>
      <c r="BJ241" s="64">
        <f t="shared" si="259"/>
        <v>3.0594834962268775</v>
      </c>
      <c r="BK241" s="61">
        <f t="shared" si="260"/>
        <v>75.129311825439174</v>
      </c>
      <c r="BL241" s="59" t="str">
        <f t="shared" si="211"/>
        <v>1.69799144785895+8.45224826218253i</v>
      </c>
      <c r="BM241" s="64">
        <f t="shared" si="261"/>
        <v>18.711271793468935</v>
      </c>
      <c r="BN241" s="61">
        <f t="shared" si="212"/>
        <v>78.640918244412674</v>
      </c>
      <c r="BO241" s="50">
        <f t="shared" si="262"/>
        <v>3.0594834962268775</v>
      </c>
      <c r="BP241" s="61">
        <f t="shared" si="263"/>
        <v>75.129311825439174</v>
      </c>
    </row>
    <row r="242" spans="14:68" x14ac:dyDescent="0.25">
      <c r="N242" s="11">
        <v>24</v>
      </c>
      <c r="O242" s="51">
        <f t="shared" si="264"/>
        <v>1737.8008287493772</v>
      </c>
      <c r="P242" s="49" t="str">
        <f t="shared" si="214"/>
        <v>37.1583961085025</v>
      </c>
      <c r="Q242" s="18" t="str">
        <f t="shared" si="215"/>
        <v>1+8.55836142108372i</v>
      </c>
      <c r="R242" s="18">
        <f t="shared" si="227"/>
        <v>8.6165857631601472</v>
      </c>
      <c r="S242" s="18">
        <f t="shared" si="228"/>
        <v>1.4544789655146888</v>
      </c>
      <c r="T242" s="18" t="str">
        <f t="shared" si="216"/>
        <v>1+0.00982703217060235i</v>
      </c>
      <c r="U242" s="18">
        <f t="shared" si="229"/>
        <v>1.0000482841149632</v>
      </c>
      <c r="V242" s="18">
        <f t="shared" si="230"/>
        <v>9.8267158549260655E-3</v>
      </c>
      <c r="W242" s="32" t="str">
        <f t="shared" si="217"/>
        <v>1-0.0860149661923379i</v>
      </c>
      <c r="X242" s="18">
        <f t="shared" si="231"/>
        <v>1.0036924700370473</v>
      </c>
      <c r="Y242" s="18">
        <f t="shared" si="232"/>
        <v>-8.580377354144085E-2</v>
      </c>
      <c r="Z242" s="32" t="str">
        <f t="shared" si="218"/>
        <v>0.99992450120699+0.0207095603891582i</v>
      </c>
      <c r="AA242" s="18">
        <f t="shared" si="233"/>
        <v>1.0001389373509861</v>
      </c>
      <c r="AB242" s="18">
        <f t="shared" si="234"/>
        <v>2.0708163465848684E-2</v>
      </c>
      <c r="AC242" s="32" t="str">
        <f>IMDIV(IMSUM(COMPLEX(0,2*PI()*O242*Constants!$B$61*Constants!$B$62),COMPLEX(1,0)),IMSUM(COMPLEX(0,2*PI()*O242*Constants!$B$61*Constants!$B$62),COMPLEX(2,0)))</f>
        <v>0.500238332171701+0.0109137199719613i</v>
      </c>
      <c r="AD242" s="18">
        <f t="shared" si="235"/>
        <v>0.50035737054384588</v>
      </c>
      <c r="AE242" s="18">
        <f t="shared" si="236"/>
        <v>2.1813580011513144E-2</v>
      </c>
      <c r="AF242" s="66" t="str">
        <f t="shared" si="237"/>
        <v>0.0897260799567681-2.1636660717014i</v>
      </c>
      <c r="AG242" s="64">
        <f t="shared" si="238"/>
        <v>6.7112669200696082</v>
      </c>
      <c r="AH242" s="61">
        <f t="shared" si="239"/>
        <v>-87.625335157134472</v>
      </c>
      <c r="AI242" s="50" t="str">
        <f t="shared" si="219"/>
        <v>107.538871525172</v>
      </c>
      <c r="AJ242" s="50" t="str">
        <f t="shared" si="220"/>
        <v>1+8.13601689449222i</v>
      </c>
      <c r="AK242" s="50">
        <f t="shared" si="240"/>
        <v>8.1972416645761292</v>
      </c>
      <c r="AL242" s="50">
        <f t="shared" si="241"/>
        <v>1.4484994430137597</v>
      </c>
      <c r="AM242" s="50" t="str">
        <f t="shared" si="221"/>
        <v>1+0.00982703217060235i</v>
      </c>
      <c r="AN242" s="50">
        <f t="shared" si="242"/>
        <v>1.0000482841149632</v>
      </c>
      <c r="AO242" s="50">
        <f t="shared" si="243"/>
        <v>9.8267158549260655E-3</v>
      </c>
      <c r="AP242" s="50" t="str">
        <f t="shared" si="222"/>
        <v>1-0.0282544207737985i</v>
      </c>
      <c r="AQ242" s="50">
        <f t="shared" si="244"/>
        <v>1.0003990765155988</v>
      </c>
      <c r="AR242" s="50">
        <f t="shared" si="245"/>
        <v>-2.8246905755921335E-2</v>
      </c>
      <c r="AS242" s="59" t="str">
        <f t="shared" si="246"/>
        <v>1.36090807811139-13.0540316909088i</v>
      </c>
      <c r="AT242" s="50">
        <f t="shared" si="247"/>
        <v>22.361839744094198</v>
      </c>
      <c r="AU242" s="61">
        <f t="shared" si="248"/>
        <v>-84.048303850895479</v>
      </c>
      <c r="AV242" s="32" t="str">
        <f t="shared" si="223"/>
        <v>-0.0000333333333333333</v>
      </c>
      <c r="AW242" s="32" t="str">
        <f t="shared" si="224"/>
        <v>0.000524108382432125i</v>
      </c>
      <c r="AX242" s="32">
        <f t="shared" si="249"/>
        <v>5.2410838243212505E-4</v>
      </c>
      <c r="AY242" s="32">
        <f t="shared" si="250"/>
        <v>1.5707963267948966</v>
      </c>
      <c r="AZ242" s="32" t="str">
        <f t="shared" si="225"/>
        <v>1+0.213828940749218i</v>
      </c>
      <c r="BA242" s="32">
        <f t="shared" si="251"/>
        <v>1.0226058947130769</v>
      </c>
      <c r="BB242" s="32">
        <f t="shared" si="252"/>
        <v>0.21065657231301399</v>
      </c>
      <c r="BC242" s="32" t="str">
        <f t="shared" si="226"/>
        <v>1+10.2637891559625i</v>
      </c>
      <c r="BD242" s="32">
        <f t="shared" si="253"/>
        <v>10.312389046096612</v>
      </c>
      <c r="BE242" s="32">
        <f t="shared" si="254"/>
        <v>1.4736729652425924</v>
      </c>
      <c r="BF242" s="59" t="str">
        <f t="shared" si="255"/>
        <v>-0.611231036581576+0.194298961827298i</v>
      </c>
      <c r="BG242" s="50">
        <f t="shared" si="256"/>
        <v>-3.8578272682702579</v>
      </c>
      <c r="BH242" s="61">
        <f t="shared" si="257"/>
        <v>162.36550877070167</v>
      </c>
      <c r="BI242" s="59" t="str">
        <f t="shared" si="258"/>
        <v>0.365554706612153+1.33993354000687i</v>
      </c>
      <c r="BJ242" s="64">
        <f t="shared" si="259"/>
        <v>2.8534396517993703</v>
      </c>
      <c r="BK242" s="61">
        <f t="shared" si="260"/>
        <v>74.740173613567265</v>
      </c>
      <c r="BL242" s="59" t="str">
        <f t="shared" ref="BL242:BL305" si="265">IMPRODUCT(AS242,BF242)</f>
        <v>1.70455554992796+8.24345234872236i</v>
      </c>
      <c r="BM242" s="64">
        <f t="shared" si="261"/>
        <v>18.504012475823941</v>
      </c>
      <c r="BN242" s="61">
        <f t="shared" ref="BN242:BN305" si="266">(180/PI())*IMARGUMENT(BL242)</f>
        <v>78.317204919806201</v>
      </c>
      <c r="BO242" s="50">
        <f t="shared" si="262"/>
        <v>2.8534396517993703</v>
      </c>
      <c r="BP242" s="61">
        <f t="shared" si="263"/>
        <v>74.740173613567265</v>
      </c>
    </row>
    <row r="243" spans="14:68" x14ac:dyDescent="0.25">
      <c r="N243" s="11">
        <v>25</v>
      </c>
      <c r="O243" s="51">
        <f t="shared" si="264"/>
        <v>1778.2794100389244</v>
      </c>
      <c r="P243" s="49" t="str">
        <f t="shared" si="214"/>
        <v>37.1583961085025</v>
      </c>
      <c r="Q243" s="18" t="str">
        <f t="shared" si="215"/>
        <v>1+8.75771126760096i</v>
      </c>
      <c r="R243" s="18">
        <f t="shared" si="227"/>
        <v>8.8146189167010967</v>
      </c>
      <c r="S243" s="18">
        <f t="shared" si="228"/>
        <v>1.4571036532876545</v>
      </c>
      <c r="T243" s="18" t="str">
        <f t="shared" si="216"/>
        <v>1+0.010055933155095i</v>
      </c>
      <c r="U243" s="18">
        <f t="shared" si="229"/>
        <v>1.0000505596176725</v>
      </c>
      <c r="V243" s="18">
        <f t="shared" si="230"/>
        <v>1.0055594217666788E-2</v>
      </c>
      <c r="W243" s="32" t="str">
        <f t="shared" si="217"/>
        <v>1-0.0880185121358857i</v>
      </c>
      <c r="X243" s="18">
        <f t="shared" si="231"/>
        <v>1.0038661556595159</v>
      </c>
      <c r="Y243" s="18">
        <f t="shared" si="232"/>
        <v>-8.7792262177061098E-2</v>
      </c>
      <c r="Z243" s="32" t="str">
        <f t="shared" si="218"/>
        <v>0.999920943058496+0.0211919480194408i</v>
      </c>
      <c r="AA243" s="18">
        <f t="shared" si="233"/>
        <v>1.0001454849309928</v>
      </c>
      <c r="AB243" s="18">
        <f t="shared" si="234"/>
        <v>2.1190451199714206E-2</v>
      </c>
      <c r="AC243" s="32" t="str">
        <f>IMDIV(IMSUM(COMPLEX(0,2*PI()*O243*Constants!$B$61*Constants!$B$62),COMPLEX(1,0)),IMSUM(COMPLEX(0,2*PI()*O243*Constants!$B$61*Constants!$B$62),COMPLEX(2,0)))</f>
        <v>0.500249558814693+0.0111676822906414i</v>
      </c>
      <c r="AD243" s="18">
        <f t="shared" si="235"/>
        <v>0.50037419819774842</v>
      </c>
      <c r="AE243" s="18">
        <f t="shared" si="236"/>
        <v>2.232051469612693E-2</v>
      </c>
      <c r="AF243" s="66" t="str">
        <f t="shared" si="237"/>
        <v>0.0785044295407915-2.11584665651676i</v>
      </c>
      <c r="AG243" s="64">
        <f t="shared" si="238"/>
        <v>6.5156583445488341</v>
      </c>
      <c r="AH243" s="61">
        <f t="shared" si="239"/>
        <v>-87.875124765033107</v>
      </c>
      <c r="AI243" s="50" t="str">
        <f t="shared" si="219"/>
        <v>107.538871525172</v>
      </c>
      <c r="AJ243" s="50" t="str">
        <f t="shared" si="220"/>
        <v>1+8.32552907321175i</v>
      </c>
      <c r="AK243" s="50">
        <f t="shared" si="240"/>
        <v>8.3853702571141202</v>
      </c>
      <c r="AL243" s="50">
        <f t="shared" si="241"/>
        <v>1.4512565123760053</v>
      </c>
      <c r="AM243" s="50" t="str">
        <f t="shared" si="221"/>
        <v>1+0.010055933155095i</v>
      </c>
      <c r="AN243" s="50">
        <f t="shared" si="242"/>
        <v>1.0000505596176725</v>
      </c>
      <c r="AO243" s="50">
        <f t="shared" si="243"/>
        <v>1.0055594217666788E-2</v>
      </c>
      <c r="AP243" s="50" t="str">
        <f t="shared" si="222"/>
        <v>1-0.0289125507787799i</v>
      </c>
      <c r="AQ243" s="50">
        <f t="shared" si="244"/>
        <v>1.0004178804842183</v>
      </c>
      <c r="AR243" s="50">
        <f t="shared" si="245"/>
        <v>-2.890449847369695E-2</v>
      </c>
      <c r="AS243" s="59" t="str">
        <f t="shared" si="246"/>
        <v>1.28974184747043-12.7656026280857i</v>
      </c>
      <c r="AT243" s="50">
        <f t="shared" si="247"/>
        <v>22.164932672508854</v>
      </c>
      <c r="AU243" s="61">
        <f t="shared" si="248"/>
        <v>-84.230835812337148</v>
      </c>
      <c r="AV243" s="32" t="str">
        <f t="shared" si="223"/>
        <v>-0.0000333333333333333</v>
      </c>
      <c r="AW243" s="32" t="str">
        <f t="shared" si="224"/>
        <v>0.000536316434938395i</v>
      </c>
      <c r="AX243" s="32">
        <f t="shared" si="249"/>
        <v>5.3631643493839498E-4</v>
      </c>
      <c r="AY243" s="32">
        <f t="shared" si="250"/>
        <v>1.5707963267948966</v>
      </c>
      <c r="AZ243" s="32" t="str">
        <f t="shared" si="225"/>
        <v>1+0.218809656615492i</v>
      </c>
      <c r="BA243" s="32">
        <f t="shared" si="251"/>
        <v>1.0236589597264263</v>
      </c>
      <c r="BB243" s="32">
        <f t="shared" si="252"/>
        <v>0.21541463130390404</v>
      </c>
      <c r="BC243" s="32" t="str">
        <f t="shared" si="226"/>
        <v>1+10.5028635175436i</v>
      </c>
      <c r="BD243" s="32">
        <f t="shared" si="253"/>
        <v>10.550362177107871</v>
      </c>
      <c r="BE243" s="32">
        <f t="shared" si="254"/>
        <v>1.4758703529810815</v>
      </c>
      <c r="BF243" s="59" t="str">
        <f t="shared" si="255"/>
        <v>-0.609974104406136+0.195620586557845i</v>
      </c>
      <c r="BG243" s="50">
        <f t="shared" si="256"/>
        <v>-3.8686056787830099</v>
      </c>
      <c r="BH243" s="61">
        <f t="shared" si="257"/>
        <v>162.21879311521863</v>
      </c>
      <c r="BI243" s="59" t="str">
        <f t="shared" si="258"/>
        <v>0.366017494913205+1.30596875192369i</v>
      </c>
      <c r="BJ243" s="64">
        <f t="shared" si="259"/>
        <v>2.647052665765846</v>
      </c>
      <c r="BK243" s="61">
        <f t="shared" si="260"/>
        <v>74.343668350185581</v>
      </c>
      <c r="BL243" s="59" t="str">
        <f t="shared" si="265"/>
        <v>1.7105055455446+8.03898708698155i</v>
      </c>
      <c r="BM243" s="64">
        <f t="shared" si="261"/>
        <v>18.296326993725838</v>
      </c>
      <c r="BN243" s="61">
        <f t="shared" si="266"/>
        <v>77.987957302881497</v>
      </c>
      <c r="BO243" s="50">
        <f t="shared" si="262"/>
        <v>2.647052665765846</v>
      </c>
      <c r="BP243" s="61">
        <f t="shared" si="263"/>
        <v>74.343668350185581</v>
      </c>
    </row>
    <row r="244" spans="14:68" x14ac:dyDescent="0.25">
      <c r="N244" s="11">
        <v>26</v>
      </c>
      <c r="O244" s="51">
        <f t="shared" si="264"/>
        <v>1819.7008586099832</v>
      </c>
      <c r="P244" s="49" t="str">
        <f t="shared" si="214"/>
        <v>37.1583961085025</v>
      </c>
      <c r="Q244" s="18" t="str">
        <f t="shared" si="215"/>
        <v>1+8.96170456855419i</v>
      </c>
      <c r="R244" s="18">
        <f t="shared" si="227"/>
        <v>9.0173249233930246</v>
      </c>
      <c r="S244" s="18">
        <f t="shared" si="228"/>
        <v>1.4596701169655835</v>
      </c>
      <c r="T244" s="18" t="str">
        <f t="shared" si="216"/>
        <v>1+0.0102901659284523i</v>
      </c>
      <c r="U244" s="18">
        <f t="shared" si="229"/>
        <v>1.000052942355971</v>
      </c>
      <c r="V244" s="18">
        <f t="shared" si="230"/>
        <v>1.0289802751493096E-2</v>
      </c>
      <c r="W244" s="32" t="str">
        <f t="shared" si="217"/>
        <v>1-0.0900687266596297i</v>
      </c>
      <c r="X244" s="18">
        <f t="shared" si="231"/>
        <v>1.0040479946307781</v>
      </c>
      <c r="Y244" s="18">
        <f t="shared" si="232"/>
        <v>-8.9826348218161642E-2</v>
      </c>
      <c r="Z244" s="32" t="str">
        <f t="shared" si="218"/>
        <v>0.999917217219629+0.0216855719010716i</v>
      </c>
      <c r="AA244" s="18">
        <f t="shared" si="233"/>
        <v>1.0001523410565629</v>
      </c>
      <c r="AB244" s="18">
        <f t="shared" si="234"/>
        <v>2.1683968041694823E-2</v>
      </c>
      <c r="AC244" s="32" t="str">
        <f>IMDIV(IMSUM(COMPLEX(0,2*PI()*O244*Constants!$B$61*Constants!$B$62),COMPLEX(1,0)),IMSUM(COMPLEX(0,2*PI()*O244*Constants!$B$61*Constants!$B$62),COMPLEX(2,0)))</f>
        <v>0.500261314012475+0.0114275422215074i</v>
      </c>
      <c r="AD244" s="18">
        <f t="shared" si="235"/>
        <v>0.50039181749776085</v>
      </c>
      <c r="AE244" s="18">
        <f t="shared" si="236"/>
        <v>2.2839173962781744E-2</v>
      </c>
      <c r="AF244" s="66" t="str">
        <f t="shared" si="237"/>
        <v>0.067774513817679-2.06903518897297i</v>
      </c>
      <c r="AG244" s="64">
        <f t="shared" si="238"/>
        <v>6.3200149922881552</v>
      </c>
      <c r="AH244" s="61">
        <f t="shared" si="239"/>
        <v>-88.12385713203885</v>
      </c>
      <c r="AI244" s="50" t="str">
        <f t="shared" si="219"/>
        <v>107.538871525172</v>
      </c>
      <c r="AJ244" s="50" t="str">
        <f t="shared" si="220"/>
        <v>1+8.5194555576472i</v>
      </c>
      <c r="AK244" s="50">
        <f t="shared" si="240"/>
        <v>8.5779439843546292</v>
      </c>
      <c r="AL244" s="50">
        <f t="shared" si="241"/>
        <v>1.4539525888145024</v>
      </c>
      <c r="AM244" s="50" t="str">
        <f t="shared" si="221"/>
        <v>1+0.0102901659284523i</v>
      </c>
      <c r="AN244" s="50">
        <f t="shared" si="242"/>
        <v>1.000052942355971</v>
      </c>
      <c r="AO244" s="50">
        <f t="shared" si="243"/>
        <v>1.0289802751493096E-2</v>
      </c>
      <c r="AP244" s="50" t="str">
        <f t="shared" si="222"/>
        <v>1-0.0295860106008867i</v>
      </c>
      <c r="AQ244" s="50">
        <f t="shared" si="244"/>
        <v>1.0004375702777639</v>
      </c>
      <c r="AR244" s="50">
        <f t="shared" si="245"/>
        <v>-2.9577382604343949E-2</v>
      </c>
      <c r="AS244" s="59" t="str">
        <f t="shared" si="246"/>
        <v>1.22168951272328-12.4831828700883i</v>
      </c>
      <c r="AT244" s="50">
        <f t="shared" si="247"/>
        <v>21.967905074095079</v>
      </c>
      <c r="AU244" s="61">
        <f t="shared" si="248"/>
        <v>-84.410443873780906</v>
      </c>
      <c r="AV244" s="32" t="str">
        <f t="shared" si="223"/>
        <v>-0.0000333333333333333</v>
      </c>
      <c r="AW244" s="32" t="str">
        <f t="shared" si="224"/>
        <v>0.000548808849517456i</v>
      </c>
      <c r="AX244" s="32">
        <f t="shared" si="249"/>
        <v>5.4880884951745597E-4</v>
      </c>
      <c r="AY244" s="32">
        <f t="shared" si="250"/>
        <v>1.5707963267948966</v>
      </c>
      <c r="AZ244" s="32" t="str">
        <f t="shared" si="225"/>
        <v>1+0.223906388257989i</v>
      </c>
      <c r="BA244" s="32">
        <f t="shared" si="251"/>
        <v>1.0247604943120794</v>
      </c>
      <c r="BB244" s="32">
        <f t="shared" si="252"/>
        <v>0.22027328347840366</v>
      </c>
      <c r="BC244" s="32" t="str">
        <f t="shared" si="226"/>
        <v>1+10.7475066363835i</v>
      </c>
      <c r="BD244" s="32">
        <f t="shared" si="253"/>
        <v>10.793928798130334</v>
      </c>
      <c r="BE244" s="32">
        <f t="shared" si="254"/>
        <v>1.4780186108997344</v>
      </c>
      <c r="BF244" s="59" t="str">
        <f t="shared" si="255"/>
        <v>-0.608663463621373+0.197021239543977i</v>
      </c>
      <c r="BG244" s="50">
        <f t="shared" si="256"/>
        <v>-3.8797037207558294</v>
      </c>
      <c r="BH244" s="61">
        <f t="shared" si="257"/>
        <v>162.06349896354206</v>
      </c>
      <c r="BI244" s="59" t="str">
        <f t="shared" si="258"/>
        <v>0.366392007266038+1.27269914319664i</v>
      </c>
      <c r="BJ244" s="64">
        <f t="shared" si="259"/>
        <v>2.4403112715323254</v>
      </c>
      <c r="BK244" s="61">
        <f t="shared" si="260"/>
        <v>73.939641831503224</v>
      </c>
      <c r="BL244" s="59" t="str">
        <f t="shared" si="265"/>
        <v>1.71585439223488+7.83875610486155i</v>
      </c>
      <c r="BM244" s="64">
        <f t="shared" si="261"/>
        <v>18.08820135333924</v>
      </c>
      <c r="BN244" s="61">
        <f t="shared" si="266"/>
        <v>77.653055089761125</v>
      </c>
      <c r="BO244" s="50">
        <f t="shared" si="262"/>
        <v>2.4403112715323254</v>
      </c>
      <c r="BP244" s="61">
        <f t="shared" si="263"/>
        <v>73.939641831503224</v>
      </c>
    </row>
    <row r="245" spans="14:68" x14ac:dyDescent="0.25">
      <c r="N245" s="11">
        <v>27</v>
      </c>
      <c r="O245" s="51">
        <f t="shared" si="264"/>
        <v>1862.0871366628687</v>
      </c>
      <c r="P245" s="49" t="str">
        <f t="shared" si="214"/>
        <v>37.1583961085025</v>
      </c>
      <c r="Q245" s="18" t="str">
        <f t="shared" si="215"/>
        <v>1+9.17044948389192i</v>
      </c>
      <c r="R245" s="18">
        <f t="shared" si="227"/>
        <v>9.2248113117078763</v>
      </c>
      <c r="S245" s="18">
        <f t="shared" si="228"/>
        <v>1.4621795820113095</v>
      </c>
      <c r="T245" s="18" t="str">
        <f t="shared" si="216"/>
        <v>1+0.0105298546839914i</v>
      </c>
      <c r="U245" s="18">
        <f t="shared" si="229"/>
        <v>1.0000554373831811</v>
      </c>
      <c r="V245" s="18">
        <f t="shared" si="230"/>
        <v>1.0529465534033484E-2</v>
      </c>
      <c r="W245" s="32" t="str">
        <f t="shared" si="217"/>
        <v>1-0.0921666968144497i</v>
      </c>
      <c r="X245" s="18">
        <f t="shared" si="231"/>
        <v>1.0042383681186886</v>
      </c>
      <c r="Y245" s="18">
        <f t="shared" si="232"/>
        <v>-9.1907042798455171E-2</v>
      </c>
      <c r="Z245" s="32" t="str">
        <f t="shared" si="218"/>
        <v>0.999913315787387+0.022190693759967i</v>
      </c>
      <c r="AA245" s="18">
        <f t="shared" si="233"/>
        <v>1.00015952026588</v>
      </c>
      <c r="AB245" s="18">
        <f t="shared" si="234"/>
        <v>2.2188975206985099E-2</v>
      </c>
      <c r="AC245" s="32" t="str">
        <f>IMDIV(IMSUM(COMPLEX(0,2*PI()*O245*Constants!$B$61*Constants!$B$62),COMPLEX(1,0)),IMSUM(COMPLEX(0,2*PI()*O245*Constants!$B$61*Constants!$B$62),COMPLEX(2,0)))</f>
        <v>0.500273622622951+0.0116934358567506i</v>
      </c>
      <c r="AD245" s="18">
        <f t="shared" si="235"/>
        <v>0.50041026561655066</v>
      </c>
      <c r="AE245" s="18">
        <f t="shared" si="236"/>
        <v>2.3369824962859238E-2</v>
      </c>
      <c r="AF245" s="66" t="str">
        <f t="shared" si="237"/>
        <v>0.0575152701435313-2.02321426392837i</v>
      </c>
      <c r="AG245" s="64">
        <f t="shared" si="238"/>
        <v>6.1243458210811905</v>
      </c>
      <c r="AH245" s="61">
        <f t="shared" si="239"/>
        <v>-88.371652956451356</v>
      </c>
      <c r="AI245" s="50" t="str">
        <f t="shared" si="219"/>
        <v>107.538871525172</v>
      </c>
      <c r="AJ245" s="50" t="str">
        <f t="shared" si="220"/>
        <v>1+8.7178991701877i</v>
      </c>
      <c r="AK245" s="50">
        <f t="shared" si="240"/>
        <v>8.7750650106742452</v>
      </c>
      <c r="AL245" s="50">
        <f t="shared" si="241"/>
        <v>1.4565889449617706</v>
      </c>
      <c r="AM245" s="50" t="str">
        <f t="shared" si="221"/>
        <v>1+0.0105298546839914i</v>
      </c>
      <c r="AN245" s="50">
        <f t="shared" si="242"/>
        <v>1.0000554373831811</v>
      </c>
      <c r="AO245" s="50">
        <f t="shared" si="243"/>
        <v>1.0529465534033484E-2</v>
      </c>
      <c r="AP245" s="50" t="str">
        <f t="shared" si="222"/>
        <v>1-0.0302751573174314i</v>
      </c>
      <c r="AQ245" s="50">
        <f t="shared" si="244"/>
        <v>1.0004581876073559</v>
      </c>
      <c r="AR245" s="50">
        <f t="shared" si="245"/>
        <v>-3.026591248123045E-2</v>
      </c>
      <c r="AS245" s="59" t="str">
        <f t="shared" si="246"/>
        <v>1.15661860999992-12.2066719834651i</v>
      </c>
      <c r="AT245" s="50">
        <f t="shared" si="247"/>
        <v>21.770763008817788</v>
      </c>
      <c r="AU245" s="61">
        <f t="shared" si="248"/>
        <v>-84.587214144381065</v>
      </c>
      <c r="AV245" s="32" t="str">
        <f t="shared" si="223"/>
        <v>-0.0000333333333333333</v>
      </c>
      <c r="AW245" s="32" t="str">
        <f t="shared" si="224"/>
        <v>0.000561592249812876i</v>
      </c>
      <c r="AX245" s="32">
        <f t="shared" si="249"/>
        <v>5.6159224981287598E-4</v>
      </c>
      <c r="AY245" s="32">
        <f t="shared" si="250"/>
        <v>1.5707963267948966</v>
      </c>
      <c r="AZ245" s="32" t="str">
        <f t="shared" si="225"/>
        <v>1+0.229121838031294i</v>
      </c>
      <c r="BA245" s="32">
        <f t="shared" si="251"/>
        <v>1.0259126749693848</v>
      </c>
      <c r="BB245" s="32">
        <f t="shared" si="252"/>
        <v>0.22523418697324124</v>
      </c>
      <c r="BC245" s="32" t="str">
        <f t="shared" si="226"/>
        <v>1+10.9978482255021i</v>
      </c>
      <c r="BD245" s="32">
        <f t="shared" si="253"/>
        <v>11.043218081301287</v>
      </c>
      <c r="BE245" s="32">
        <f t="shared" si="254"/>
        <v>1.4801187986757109</v>
      </c>
      <c r="BF245" s="59" t="str">
        <f t="shared" si="255"/>
        <v>-0.607297077408163+0.198500067738629i</v>
      </c>
      <c r="BG245" s="50">
        <f t="shared" si="256"/>
        <v>-3.8911421448421972</v>
      </c>
      <c r="BH245" s="61">
        <f t="shared" si="257"/>
        <v>161.8995920264646</v>
      </c>
      <c r="BI245" s="59" t="str">
        <f t="shared" si="258"/>
        <v>0.366679312975034+1.2401088944737i</v>
      </c>
      <c r="BJ245" s="64">
        <f t="shared" si="259"/>
        <v>2.2332036762389698</v>
      </c>
      <c r="BK245" s="61">
        <f t="shared" si="260"/>
        <v>73.527939070013218</v>
      </c>
      <c r="BL245" s="59" t="str">
        <f t="shared" si="265"/>
        <v>1.7206141140522+7.6426650928712i</v>
      </c>
      <c r="BM245" s="64">
        <f t="shared" si="261"/>
        <v>17.879620863975589</v>
      </c>
      <c r="BN245" s="61">
        <f t="shared" si="266"/>
        <v>77.312377882083567</v>
      </c>
      <c r="BO245" s="50">
        <f t="shared" si="262"/>
        <v>2.2332036762389698</v>
      </c>
      <c r="BP245" s="61">
        <f t="shared" si="263"/>
        <v>73.527939070013218</v>
      </c>
    </row>
    <row r="246" spans="14:68" x14ac:dyDescent="0.25">
      <c r="N246" s="11">
        <v>28</v>
      </c>
      <c r="O246" s="51">
        <f t="shared" si="264"/>
        <v>1905.4607179632501</v>
      </c>
      <c r="P246" s="49" t="str">
        <f t="shared" si="214"/>
        <v>37.1583961085025</v>
      </c>
      <c r="Q246" s="18" t="str">
        <f t="shared" si="215"/>
        <v>1+9.38405669293133i</v>
      </c>
      <c r="R246" s="18">
        <f t="shared" si="227"/>
        <v>9.4371881413983303</v>
      </c>
      <c r="S246" s="18">
        <f t="shared" si="228"/>
        <v>1.46463325248263</v>
      </c>
      <c r="T246" s="18" t="str">
        <f t="shared" si="216"/>
        <v>1+0.0107751265078632i</v>
      </c>
      <c r="U246" s="18">
        <f t="shared" si="229"/>
        <v>1.0000580499907294</v>
      </c>
      <c r="V246" s="18">
        <f t="shared" si="230"/>
        <v>1.0774709527477902E-2</v>
      </c>
      <c r="W246" s="32" t="str">
        <f t="shared" si="217"/>
        <v>1-0.0943135349718921i</v>
      </c>
      <c r="X246" s="18">
        <f t="shared" si="231"/>
        <v>1.0044376749599222</v>
      </c>
      <c r="Y246" s="18">
        <f t="shared" si="232"/>
        <v>-9.4035377026469621E-2</v>
      </c>
      <c r="Z246" s="32" t="str">
        <f t="shared" si="218"/>
        <v>0.999909230486307+0.0227075814184227i</v>
      </c>
      <c r="AA246" s="18">
        <f t="shared" si="233"/>
        <v>1.0001670377819862</v>
      </c>
      <c r="AB246" s="18">
        <f t="shared" si="234"/>
        <v>2.270573997065169E-2</v>
      </c>
      <c r="AC246" s="32" t="str">
        <f>IMDIV(IMSUM(COMPLEX(0,2*PI()*O246*Constants!$B$61*Constants!$B$62),COMPLEX(1,0)),IMSUM(COMPLEX(0,2*PI()*O246*Constants!$B$61*Constants!$B$62),COMPLEX(2,0)))</f>
        <v>0.500286510670525+0.0119655023671351i</v>
      </c>
      <c r="AD246" s="18">
        <f t="shared" si="235"/>
        <v>0.50042958146555161</v>
      </c>
      <c r="AE246" s="18">
        <f t="shared" si="236"/>
        <v>2.3912740647276665E-2</v>
      </c>
      <c r="AF246" s="66" t="str">
        <f t="shared" si="237"/>
        <v>0.0477064884474637-1.9783665260937i</v>
      </c>
      <c r="AG246" s="64">
        <f t="shared" si="238"/>
        <v>5.9286597433267429</v>
      </c>
      <c r="AH246" s="61">
        <f t="shared" si="239"/>
        <v>-88.618632704267654</v>
      </c>
      <c r="AI246" s="50" t="str">
        <f t="shared" si="219"/>
        <v>107.538871525172</v>
      </c>
      <c r="AJ246" s="50" t="str">
        <f t="shared" si="220"/>
        <v>1+8.92096512826334i</v>
      </c>
      <c r="AK246" s="50">
        <f t="shared" si="240"/>
        <v>8.9768379076203964</v>
      </c>
      <c r="AL246" s="50">
        <f t="shared" si="241"/>
        <v>1.4591668319803339</v>
      </c>
      <c r="AM246" s="50" t="str">
        <f t="shared" si="221"/>
        <v>1+0.0107751265078632i</v>
      </c>
      <c r="AN246" s="50">
        <f t="shared" si="242"/>
        <v>1.0000580499907294</v>
      </c>
      <c r="AO246" s="50">
        <f t="shared" si="243"/>
        <v>1.0774709527477902E-2</v>
      </c>
      <c r="AP246" s="50" t="str">
        <f t="shared" si="222"/>
        <v>1-0.0309803563231252i</v>
      </c>
      <c r="AQ246" s="50">
        <f t="shared" si="244"/>
        <v>1.0004797761463786</v>
      </c>
      <c r="AR246" s="50">
        <f t="shared" si="245"/>
        <v>-3.0970450559207548E-2</v>
      </c>
      <c r="AS246" s="59" t="str">
        <f t="shared" si="246"/>
        <v>1.09440198096648-11.9359695217444i</v>
      </c>
      <c r="AT246" s="50">
        <f t="shared" si="247"/>
        <v>21.573512314845274</v>
      </c>
      <c r="AU246" s="61">
        <f t="shared" si="248"/>
        <v>-84.761231803205391</v>
      </c>
      <c r="AV246" s="32" t="str">
        <f t="shared" si="223"/>
        <v>-0.0000333333333333333</v>
      </c>
      <c r="AW246" s="32" t="str">
        <f t="shared" si="224"/>
        <v>0.000574673413752699i</v>
      </c>
      <c r="AX246" s="32">
        <f t="shared" si="249"/>
        <v>5.7467341375269903E-4</v>
      </c>
      <c r="AY246" s="32">
        <f t="shared" si="250"/>
        <v>1.5707963267948966</v>
      </c>
      <c r="AZ246" s="32" t="str">
        <f t="shared" si="225"/>
        <v>1+0.234458771235911i</v>
      </c>
      <c r="BA246" s="32">
        <f t="shared" si="251"/>
        <v>1.0271177709539707</v>
      </c>
      <c r="BB246" s="32">
        <f t="shared" si="252"/>
        <v>0.23029899495922598</v>
      </c>
      <c r="BC246" s="32" t="str">
        <f t="shared" si="226"/>
        <v>1+11.2540210193238i</v>
      </c>
      <c r="BD246" s="32">
        <f t="shared" si="253"/>
        <v>11.298362231021889</v>
      </c>
      <c r="BE246" s="32">
        <f t="shared" si="254"/>
        <v>1.4821719557075559</v>
      </c>
      <c r="BF246" s="59" t="str">
        <f t="shared" si="255"/>
        <v>-0.605872855265086+0.200056164524988i</v>
      </c>
      <c r="BG246" s="50">
        <f t="shared" si="256"/>
        <v>-3.9029421896658079</v>
      </c>
      <c r="BH246" s="61">
        <f t="shared" si="257"/>
        <v>161.7270371374259</v>
      </c>
      <c r="BI246" s="59" t="str">
        <f t="shared" si="258"/>
        <v>0.366880352864595+1.20818255302701i</v>
      </c>
      <c r="BJ246" s="64">
        <f t="shared" si="259"/>
        <v>2.0257175536609071</v>
      </c>
      <c r="BK246" s="61">
        <f t="shared" si="260"/>
        <v>73.108404433158185</v>
      </c>
      <c r="BL246" s="59" t="str">
        <f t="shared" si="265"/>
        <v>1.72479582939141+7.45062179725703i</v>
      </c>
      <c r="BM246" s="64">
        <f t="shared" si="261"/>
        <v>17.67057012517947</v>
      </c>
      <c r="BN246" s="61">
        <f t="shared" si="266"/>
        <v>76.965805334220562</v>
      </c>
      <c r="BO246" s="50">
        <f t="shared" si="262"/>
        <v>2.0257175536609071</v>
      </c>
      <c r="BP246" s="61">
        <f t="shared" si="263"/>
        <v>73.108404433158185</v>
      </c>
    </row>
    <row r="247" spans="14:68" x14ac:dyDescent="0.25">
      <c r="N247" s="11">
        <v>29</v>
      </c>
      <c r="O247" s="51">
        <f t="shared" si="264"/>
        <v>1949.8445997580463</v>
      </c>
      <c r="P247" s="49" t="str">
        <f t="shared" si="214"/>
        <v>37.1583961085025</v>
      </c>
      <c r="Q247" s="18" t="str">
        <f t="shared" si="215"/>
        <v>1+9.60263945304188i</v>
      </c>
      <c r="R247" s="18">
        <f t="shared" si="227"/>
        <v>9.6545680620686731</v>
      </c>
      <c r="S247" s="18">
        <f t="shared" si="228"/>
        <v>1.467032311105211</v>
      </c>
      <c r="T247" s="18" t="str">
        <f t="shared" si="216"/>
        <v>1+0.0110261114464349i</v>
      </c>
      <c r="U247" s="18">
        <f t="shared" si="229"/>
        <v>1.0000607857193629</v>
      </c>
      <c r="V247" s="18">
        <f t="shared" si="230"/>
        <v>1.1025664645368883E-2</v>
      </c>
      <c r="W247" s="32" t="str">
        <f t="shared" si="217"/>
        <v>1-0.0965103794139624i</v>
      </c>
      <c r="X247" s="18">
        <f t="shared" si="231"/>
        <v>1.0046463324646275</v>
      </c>
      <c r="Y247" s="18">
        <f t="shared" si="232"/>
        <v>-9.6212402203081443E-2</v>
      </c>
      <c r="Z247" s="32" t="str">
        <f t="shared" si="218"/>
        <v>0.99990495265092+0.0232365089371164i</v>
      </c>
      <c r="AA247" s="18">
        <f t="shared" si="233"/>
        <v>1.0001749095450372</v>
      </c>
      <c r="AB247" s="18">
        <f t="shared" si="234"/>
        <v>2.3234535807027251E-2</v>
      </c>
      <c r="AC247" s="32" t="str">
        <f>IMDIV(IMSUM(COMPLEX(0,2*PI()*O247*Constants!$B$61*Constants!$B$62),COMPLEX(1,0)),IMSUM(COMPLEX(0,2*PI()*O247*Constants!$B$61*Constants!$B$62),COMPLEX(2,0)))</f>
        <v>0.500300005400582+0.0122438840671913i</v>
      </c>
      <c r="AD247" s="18">
        <f t="shared" si="235"/>
        <v>0.50044980577563736</v>
      </c>
      <c r="AE247" s="18">
        <f t="shared" si="236"/>
        <v>2.4468199871583527E-2</v>
      </c>
      <c r="AF247" s="66" t="str">
        <f t="shared" si="237"/>
        <v>0.0383287807470852-1.93447469045176i</v>
      </c>
      <c r="AG247" s="64">
        <f t="shared" si="238"/>
        <v>5.7329656426900026</v>
      </c>
      <c r="AH247" s="61">
        <f t="shared" si="239"/>
        <v>-88.864916623961236</v>
      </c>
      <c r="AI247" s="50" t="str">
        <f t="shared" si="219"/>
        <v>107.538871525172</v>
      </c>
      <c r="AJ247" s="50" t="str">
        <f t="shared" si="220"/>
        <v>1+9.1287611001328i</v>
      </c>
      <c r="AK247" s="50">
        <f t="shared" si="240"/>
        <v>9.1833697096053921</v>
      </c>
      <c r="AL247" s="50">
        <f t="shared" si="241"/>
        <v>1.4616874795750159</v>
      </c>
      <c r="AM247" s="50" t="str">
        <f t="shared" si="221"/>
        <v>1+0.0110261114464349i</v>
      </c>
      <c r="AN247" s="50">
        <f t="shared" si="242"/>
        <v>1.0000607857193629</v>
      </c>
      <c r="AO247" s="50">
        <f t="shared" si="243"/>
        <v>1.1025664645368883E-2</v>
      </c>
      <c r="AP247" s="50" t="str">
        <f t="shared" si="222"/>
        <v>1-0.0317019815238146i</v>
      </c>
      <c r="AQ247" s="50">
        <f t="shared" si="244"/>
        <v>1.0005023816226208</v>
      </c>
      <c r="AR247" s="50">
        <f t="shared" si="245"/>
        <v>-3.1691367594374249E-2</v>
      </c>
      <c r="AS247" s="59" t="str">
        <f t="shared" si="246"/>
        <v>1.03491758928297-11.6709751668121i</v>
      </c>
      <c r="AT247" s="50">
        <f t="shared" si="247"/>
        <v>21.376158619114598</v>
      </c>
      <c r="AU247" s="61">
        <f t="shared" si="248"/>
        <v>-84.932581106412201</v>
      </c>
      <c r="AV247" s="32" t="str">
        <f t="shared" si="223"/>
        <v>-0.0000333333333333333</v>
      </c>
      <c r="AW247" s="32" t="str">
        <f t="shared" si="224"/>
        <v>0.000588059277143195i</v>
      </c>
      <c r="AX247" s="32">
        <f t="shared" si="249"/>
        <v>5.8805927714319505E-4</v>
      </c>
      <c r="AY247" s="32">
        <f t="shared" si="250"/>
        <v>1.5707963267948966</v>
      </c>
      <c r="AZ247" s="32" t="str">
        <f t="shared" si="225"/>
        <v>1+0.239920017584463i</v>
      </c>
      <c r="BA247" s="32">
        <f t="shared" si="251"/>
        <v>1.0283781477830658</v>
      </c>
      <c r="BB247" s="32">
        <f t="shared" si="252"/>
        <v>0.23546935300989758</v>
      </c>
      <c r="BC247" s="32" t="str">
        <f t="shared" si="226"/>
        <v>1+11.5161608440542i</v>
      </c>
      <c r="BD247" s="32">
        <f t="shared" si="253"/>
        <v>11.559496554181205</v>
      </c>
      <c r="BE247" s="32">
        <f t="shared" si="254"/>
        <v>1.4841791013280732</v>
      </c>
      <c r="BF247" s="59" t="str">
        <f t="shared" si="255"/>
        <v>-0.604388653836319+0.201688564500132i</v>
      </c>
      <c r="BG247" s="50">
        <f t="shared" si="256"/>
        <v>-3.9151256051205623</v>
      </c>
      <c r="BH247" s="61">
        <f t="shared" si="257"/>
        <v>161.54579841547468</v>
      </c>
      <c r="BI247" s="59" t="str">
        <f t="shared" si="258"/>
        <v>0.366995943180134+1.17690503081049i</v>
      </c>
      <c r="BJ247" s="64">
        <f t="shared" si="259"/>
        <v>1.8178400375694452</v>
      </c>
      <c r="BK247" s="61">
        <f t="shared" si="260"/>
        <v>72.680881791513499</v>
      </c>
      <c r="BL247" s="59" t="str">
        <f t="shared" si="265"/>
        <v>1.72840977909276+7.26253601298509i</v>
      </c>
      <c r="BM247" s="64">
        <f t="shared" si="261"/>
        <v>17.461033013994033</v>
      </c>
      <c r="BN247" s="61">
        <f t="shared" si="266"/>
        <v>76.613217309062492</v>
      </c>
      <c r="BO247" s="50">
        <f t="shared" si="262"/>
        <v>1.8178400375694452</v>
      </c>
      <c r="BP247" s="61">
        <f t="shared" si="263"/>
        <v>72.680881791513499</v>
      </c>
    </row>
    <row r="248" spans="14:68" x14ac:dyDescent="0.25">
      <c r="N248" s="11">
        <v>30</v>
      </c>
      <c r="O248" s="51">
        <f t="shared" si="264"/>
        <v>1995.2623149688804</v>
      </c>
      <c r="P248" s="49" t="str">
        <f t="shared" si="214"/>
        <v>37.1583961085025</v>
      </c>
      <c r="Q248" s="18" t="str">
        <f t="shared" si="215"/>
        <v>1+9.82631365969647i</v>
      </c>
      <c r="R248" s="18">
        <f t="shared" si="227"/>
        <v>9.877066373105805</v>
      </c>
      <c r="S248" s="18">
        <f t="shared" si="228"/>
        <v>1.469377919369498</v>
      </c>
      <c r="T248" s="18" t="str">
        <f t="shared" si="216"/>
        <v>1+0.0112829425752435i</v>
      </c>
      <c r="U248" s="18">
        <f t="shared" si="229"/>
        <v>1.0000636503708933</v>
      </c>
      <c r="V248" s="18">
        <f t="shared" si="230"/>
        <v>1.1282463820921355E-2</v>
      </c>
      <c r="W248" s="32" t="str">
        <f t="shared" si="217"/>
        <v>1-0.0987583949366646i</v>
      </c>
      <c r="X248" s="18">
        <f t="shared" si="231"/>
        <v>1.0048647772563561</v>
      </c>
      <c r="Y248" s="18">
        <f t="shared" si="232"/>
        <v>-9.8439190027376805E-2</v>
      </c>
      <c r="Z248" s="32" t="str">
        <f t="shared" si="218"/>
        <v>0.999900473207362+0.0237777567604204i</v>
      </c>
      <c r="AA248" s="18">
        <f t="shared" si="233"/>
        <v>1.0001831522460594</v>
      </c>
      <c r="AB248" s="18">
        <f t="shared" si="234"/>
        <v>2.3775642532228271E-2</v>
      </c>
      <c r="AC248" s="32" t="str">
        <f>IMDIV(IMSUM(COMPLEX(0,2*PI()*O248*Constants!$B$61*Constants!$B$62),COMPLEX(1,0)),IMSUM(COMPLEX(0,2*PI()*O248*Constants!$B$61*Constants!$B$62),COMPLEX(2,0)))</f>
        <v>0.500314135336514+0.0125287264814644i</v>
      </c>
      <c r="AD248" s="18">
        <f t="shared" si="235"/>
        <v>0.50047098118149769</v>
      </c>
      <c r="AE248" s="18">
        <f t="shared" si="236"/>
        <v>2.5036487501392993E-2</v>
      </c>
      <c r="AF248" s="66" t="str">
        <f t="shared" si="237"/>
        <v>0.0293635513742024-1.89152156095586i</v>
      </c>
      <c r="AG248" s="64">
        <f t="shared" si="238"/>
        <v>5.5372723907583454</v>
      </c>
      <c r="AH248" s="61">
        <f t="shared" si="239"/>
        <v>-89.110624762040146</v>
      </c>
      <c r="AI248" s="50" t="str">
        <f t="shared" si="219"/>
        <v>107.538871525172</v>
      </c>
      <c r="AJ248" s="50" t="str">
        <f t="shared" si="220"/>
        <v>1+9.34139726197106i</v>
      </c>
      <c r="AK248" s="50">
        <f t="shared" si="240"/>
        <v>9.3947699708912733</v>
      </c>
      <c r="AL248" s="50">
        <f t="shared" si="241"/>
        <v>1.4641520960342158</v>
      </c>
      <c r="AM248" s="50" t="str">
        <f t="shared" si="221"/>
        <v>1+0.0112829425752435i</v>
      </c>
      <c r="AN248" s="50">
        <f t="shared" si="242"/>
        <v>1.0000636503708933</v>
      </c>
      <c r="AO248" s="50">
        <f t="shared" si="243"/>
        <v>1.1282463820921355E-2</v>
      </c>
      <c r="AP248" s="50" t="str">
        <f t="shared" si="222"/>
        <v>1-0.0324404155347335i</v>
      </c>
      <c r="AQ248" s="50">
        <f t="shared" si="244"/>
        <v>1.0005260519147245</v>
      </c>
      <c r="AR248" s="50">
        <f t="shared" si="245"/>
        <v>-3.2429042827363572E-2</v>
      </c>
      <c r="AS248" s="59" t="str">
        <f t="shared" si="246"/>
        <v>0.978048340774204-11.4115888589714i</v>
      </c>
      <c r="AT248" s="50">
        <f t="shared" si="247"/>
        <v>21.178707347602142</v>
      </c>
      <c r="AU248" s="61">
        <f t="shared" si="248"/>
        <v>-85.101345396202873</v>
      </c>
      <c r="AV248" s="32" t="str">
        <f t="shared" si="223"/>
        <v>-0.0000333333333333333</v>
      </c>
      <c r="AW248" s="32" t="str">
        <f t="shared" si="224"/>
        <v>0.000601756937346317i</v>
      </c>
      <c r="AX248" s="32">
        <f t="shared" si="249"/>
        <v>6.0175693734631705E-4</v>
      </c>
      <c r="AY248" s="32">
        <f t="shared" si="250"/>
        <v>1.5707963267948966</v>
      </c>
      <c r="AZ248" s="32" t="str">
        <f t="shared" si="225"/>
        <v>1+0.245508472702057i</v>
      </c>
      <c r="BA248" s="32">
        <f t="shared" si="251"/>
        <v>1.0296962708335389</v>
      </c>
      <c r="BB248" s="32">
        <f t="shared" si="252"/>
        <v>0.24074689629319437</v>
      </c>
      <c r="BC248" s="32" t="str">
        <f t="shared" si="226"/>
        <v>1+11.7844066896987i</v>
      </c>
      <c r="BD248" s="32">
        <f t="shared" si="253"/>
        <v>11.826759532019558</v>
      </c>
      <c r="BE248" s="32">
        <f t="shared" si="254"/>
        <v>1.4861412350281495</v>
      </c>
      <c r="BF248" s="59" t="str">
        <f t="shared" si="255"/>
        <v>-0.602842278009106+0.203396238097532i</v>
      </c>
      <c r="BG248" s="50">
        <f t="shared" si="256"/>
        <v>-3.927714675110491</v>
      </c>
      <c r="BH248" s="61">
        <f t="shared" si="257"/>
        <v>161.35583943899886</v>
      </c>
      <c r="BI248" s="59" t="str">
        <f t="shared" si="258"/>
        <v>0.367026779577932+1.14626160259667i</v>
      </c>
      <c r="BJ248" s="64">
        <f t="shared" si="259"/>
        <v>1.6095577156478771</v>
      </c>
      <c r="BK248" s="61">
        <f t="shared" si="260"/>
        <v>72.245214676958767</v>
      </c>
      <c r="BL248" s="59" t="str">
        <f t="shared" si="265"/>
        <v>1.73146535487514+7.07831957663666i</v>
      </c>
      <c r="BM248" s="64">
        <f t="shared" si="261"/>
        <v>17.250992672491652</v>
      </c>
      <c r="BN248" s="61">
        <f t="shared" si="266"/>
        <v>76.254494042796011</v>
      </c>
      <c r="BO248" s="50">
        <f t="shared" si="262"/>
        <v>1.6095577156478771</v>
      </c>
      <c r="BP248" s="61">
        <f t="shared" si="263"/>
        <v>72.245214676958767</v>
      </c>
    </row>
    <row r="249" spans="14:68" x14ac:dyDescent="0.25">
      <c r="N249" s="11">
        <v>31</v>
      </c>
      <c r="O249" s="51">
        <f t="shared" si="264"/>
        <v>2041.7379446695318</v>
      </c>
      <c r="P249" s="49" t="str">
        <f t="shared" si="214"/>
        <v>37.1583961085025</v>
      </c>
      <c r="Q249" s="18" t="str">
        <f t="shared" si="215"/>
        <v>1+10.05519790792i</v>
      </c>
      <c r="R249" s="18">
        <f t="shared" si="227"/>
        <v>10.104801085001068</v>
      </c>
      <c r="S249" s="18">
        <f t="shared" si="228"/>
        <v>1.4716712176495621</v>
      </c>
      <c r="T249" s="18" t="str">
        <f t="shared" si="216"/>
        <v>1+0.0115457560695527i</v>
      </c>
      <c r="U249" s="18">
        <f t="shared" si="229"/>
        <v>1.0000666500204962</v>
      </c>
      <c r="V249" s="18">
        <f t="shared" si="230"/>
        <v>1.1545243076900536E-2</v>
      </c>
      <c r="W249" s="32" t="str">
        <f t="shared" si="217"/>
        <v>1-0.101058773467584i</v>
      </c>
      <c r="X249" s="18">
        <f t="shared" si="231"/>
        <v>1.0050934661486823</v>
      </c>
      <c r="Y249" s="18">
        <f t="shared" si="232"/>
        <v>-0.10071683278946233</v>
      </c>
      <c r="Z249" s="32" t="str">
        <f t="shared" si="218"/>
        <v>0.999895782654132+0.0243316118650945i</v>
      </c>
      <c r="AA249" s="18">
        <f t="shared" si="233"/>
        <v>1.0001917833623075</v>
      </c>
      <c r="AB249" s="18">
        <f t="shared" si="234"/>
        <v>2.4329346449853399E-2</v>
      </c>
      <c r="AC249" s="32" t="str">
        <f>IMDIV(IMSUM(COMPLEX(0,2*PI()*O249*Constants!$B$61*Constants!$B$62),COMPLEX(1,0)),IMSUM(COMPLEX(0,2*PI()*O249*Constants!$B$61*Constants!$B$62),COMPLEX(2,0)))</f>
        <v>0.500328930339358+0.0128201784118095i</v>
      </c>
      <c r="AD249" s="18">
        <f t="shared" si="235"/>
        <v>0.50049315230983604</v>
      </c>
      <c r="AE249" s="18">
        <f t="shared" si="236"/>
        <v>2.5617894518010751E-2</v>
      </c>
      <c r="AF249" s="66" t="str">
        <f t="shared" si="237"/>
        <v>0.020792967931649-1.84949004761176i</v>
      </c>
      <c r="AG249" s="64">
        <f t="shared" si="238"/>
        <v>5.3415888637109097</v>
      </c>
      <c r="AH249" s="61">
        <f t="shared" si="239"/>
        <v>-89.355876979195543</v>
      </c>
      <c r="AI249" s="50" t="str">
        <f t="shared" si="219"/>
        <v>107.538871525172</v>
      </c>
      <c r="AJ249" s="50" t="str">
        <f t="shared" si="220"/>
        <v>1+9.55898635628558i</v>
      </c>
      <c r="AK249" s="50">
        <f t="shared" si="240"/>
        <v>9.6111508238948087</v>
      </c>
      <c r="AL249" s="50">
        <f t="shared" si="241"/>
        <v>1.4665618682978026</v>
      </c>
      <c r="AM249" s="50" t="str">
        <f t="shared" si="221"/>
        <v>1+0.0115457560695527i</v>
      </c>
      <c r="AN249" s="50">
        <f t="shared" si="242"/>
        <v>1.0000666500204962</v>
      </c>
      <c r="AO249" s="50">
        <f t="shared" si="243"/>
        <v>1.1545243076900536E-2</v>
      </c>
      <c r="AP249" s="50" t="str">
        <f t="shared" si="222"/>
        <v>1-0.0331960498833684i</v>
      </c>
      <c r="AQ249" s="50">
        <f t="shared" si="244"/>
        <v>1.0005508371531449</v>
      </c>
      <c r="AR249" s="50">
        <f t="shared" si="245"/>
        <v>-3.3183864170176859E-2</v>
      </c>
      <c r="AS249" s="59" t="str">
        <f t="shared" si="246"/>
        <v>0.923681907508422-11.157710916347i</v>
      </c>
      <c r="AT249" s="50">
        <f t="shared" si="247"/>
        <v>20.981163735307405</v>
      </c>
      <c r="AU249" s="61">
        <f t="shared" si="248"/>
        <v>-85.267607111412474</v>
      </c>
      <c r="AV249" s="32" t="str">
        <f t="shared" si="223"/>
        <v>-0.0000333333333333333</v>
      </c>
      <c r="AW249" s="32" t="str">
        <f t="shared" si="224"/>
        <v>0.000615773657042815i</v>
      </c>
      <c r="AX249" s="32">
        <f t="shared" si="249"/>
        <v>6.1577365704281503E-4</v>
      </c>
      <c r="AY249" s="32">
        <f t="shared" si="250"/>
        <v>1.5707963267948966</v>
      </c>
      <c r="AZ249" s="32" t="str">
        <f t="shared" si="225"/>
        <v>1+0.251227099661564i</v>
      </c>
      <c r="BA249" s="32">
        <f t="shared" si="251"/>
        <v>1.0310747090314849</v>
      </c>
      <c r="BB249" s="32">
        <f t="shared" si="252"/>
        <v>0.24613324658009306</v>
      </c>
      <c r="BC249" s="32" t="str">
        <f t="shared" si="226"/>
        <v>1+12.0589007837551i</v>
      </c>
      <c r="BD249" s="32">
        <f t="shared" si="253"/>
        <v>12.100292893663747</v>
      </c>
      <c r="BE249" s="32">
        <f t="shared" si="254"/>
        <v>1.4880593366902626</v>
      </c>
      <c r="BF249" s="59" t="str">
        <f t="shared" si="255"/>
        <v>-0.601231482304026+0.205178086055158i</v>
      </c>
      <c r="BG249" s="50">
        <f t="shared" si="256"/>
        <v>-3.9407322396542765</v>
      </c>
      <c r="BH249" s="61">
        <f t="shared" si="257"/>
        <v>161.15712343049668</v>
      </c>
      <c r="BI249" s="59" t="str">
        <f t="shared" si="258"/>
        <v>0.366973441215999+1.11623790419578i</v>
      </c>
      <c r="BJ249" s="64">
        <f t="shared" si="259"/>
        <v>1.4008566240566047</v>
      </c>
      <c r="BK249" s="61">
        <f t="shared" si="260"/>
        <v>71.801246451301054</v>
      </c>
      <c r="BL249" s="59" t="str">
        <f t="shared" si="265"/>
        <v>1.73397112814412+6.89788635926147i</v>
      </c>
      <c r="BM249" s="64">
        <f t="shared" si="261"/>
        <v>17.040431495653124</v>
      </c>
      <c r="BN249" s="61">
        <f t="shared" si="266"/>
        <v>75.889516319084223</v>
      </c>
      <c r="BO249" s="50">
        <f t="shared" si="262"/>
        <v>1.4008566240566047</v>
      </c>
      <c r="BP249" s="61">
        <f t="shared" si="263"/>
        <v>71.801246451301054</v>
      </c>
    </row>
    <row r="250" spans="14:68" x14ac:dyDescent="0.25">
      <c r="N250" s="11">
        <v>32</v>
      </c>
      <c r="O250" s="51">
        <f t="shared" si="264"/>
        <v>2089.2961308540398</v>
      </c>
      <c r="P250" s="49" t="str">
        <f t="shared" si="214"/>
        <v>37.1583961085025</v>
      </c>
      <c r="Q250" s="18" t="str">
        <f t="shared" si="215"/>
        <v>1+10.2894135551707i</v>
      </c>
      <c r="R250" s="18">
        <f t="shared" si="227"/>
        <v>10.337892982098941</v>
      </c>
      <c r="S250" s="18">
        <f t="shared" si="228"/>
        <v>1.4739133253419896</v>
      </c>
      <c r="T250" s="18" t="str">
        <f t="shared" si="216"/>
        <v>1+0.0118146912765564i</v>
      </c>
      <c r="U250" s="18">
        <f t="shared" si="229"/>
        <v>1.0000697910295862</v>
      </c>
      <c r="V250" s="18">
        <f t="shared" si="230"/>
        <v>1.1814141597097932E-2</v>
      </c>
      <c r="W250" s="32" t="str">
        <f t="shared" si="217"/>
        <v>1-0.103412734697867i</v>
      </c>
      <c r="X250" s="18">
        <f t="shared" si="231"/>
        <v>1.0053328770599772</v>
      </c>
      <c r="Y250" s="18">
        <f t="shared" si="232"/>
        <v>-0.10304644354880084</v>
      </c>
      <c r="Z250" s="32" t="str">
        <f t="shared" si="218"/>
        <v>0.99989087104194+0.0248983679124465i</v>
      </c>
      <c r="AA250" s="18">
        <f t="shared" si="233"/>
        <v>1.0002008211942806</v>
      </c>
      <c r="AB250" s="18">
        <f t="shared" si="234"/>
        <v>2.4895940499935591E-2</v>
      </c>
      <c r="AC250" s="32" t="str">
        <f>IMDIV(IMSUM(COMPLEX(0,2*PI()*O250*Constants!$B$61*Constants!$B$62),COMPLEX(1,0)),IMSUM(COMPLEX(0,2*PI()*O250*Constants!$B$61*Constants!$B$62),COMPLEX(2,0)))</f>
        <v>0.500344421670205+0.0131183920057238i</v>
      </c>
      <c r="AD250" s="18">
        <f t="shared" si="235"/>
        <v>0.50051636587159443</v>
      </c>
      <c r="AE250" s="18">
        <f t="shared" si="236"/>
        <v>2.6212718124109441E-2</v>
      </c>
      <c r="AF250" s="66" t="str">
        <f t="shared" si="237"/>
        <v>0.0125999329969287-1.80836318204228i</v>
      </c>
      <c r="AG250" s="64">
        <f t="shared" si="238"/>
        <v>5.1459239590183117</v>
      </c>
      <c r="AH250" s="61">
        <f t="shared" si="239"/>
        <v>-89.600792966861889</v>
      </c>
      <c r="AI250" s="50" t="str">
        <f t="shared" si="219"/>
        <v>107.538871525172</v>
      </c>
      <c r="AJ250" s="50" t="str">
        <f t="shared" si="220"/>
        <v>1+9.78164375169443i</v>
      </c>
      <c r="AK250" s="50">
        <f t="shared" si="240"/>
        <v>9.8326270388468764</v>
      </c>
      <c r="AL250" s="50">
        <f t="shared" si="241"/>
        <v>1.4689179620494417</v>
      </c>
      <c r="AM250" s="50" t="str">
        <f t="shared" si="221"/>
        <v>1+0.0118146912765564i</v>
      </c>
      <c r="AN250" s="50">
        <f t="shared" si="242"/>
        <v>1.0000697910295862</v>
      </c>
      <c r="AO250" s="50">
        <f t="shared" si="243"/>
        <v>1.1814141597097932E-2</v>
      </c>
      <c r="AP250" s="50" t="str">
        <f t="shared" si="222"/>
        <v>1-0.0339692852170534i</v>
      </c>
      <c r="AQ250" s="50">
        <f t="shared" si="244"/>
        <v>1.0005767898258271</v>
      </c>
      <c r="AR250" s="50">
        <f t="shared" si="245"/>
        <v>-3.3956228396607571E-2</v>
      </c>
      <c r="AS250" s="59" t="str">
        <f t="shared" si="246"/>
        <v>0.871710555941245-10.9092421442682i</v>
      </c>
      <c r="AT250" s="50">
        <f t="shared" si="247"/>
        <v>20.78353283595866</v>
      </c>
      <c r="AU250" s="61">
        <f t="shared" si="248"/>
        <v>-85.43144779961527</v>
      </c>
      <c r="AV250" s="32" t="str">
        <f t="shared" si="223"/>
        <v>-0.0000333333333333333</v>
      </c>
      <c r="AW250" s="32" t="str">
        <f t="shared" si="224"/>
        <v>0.000630116868083005i</v>
      </c>
      <c r="AX250" s="32">
        <f t="shared" si="249"/>
        <v>6.3011686808300501E-4</v>
      </c>
      <c r="AY250" s="32">
        <f t="shared" si="250"/>
        <v>1.5707963267948966</v>
      </c>
      <c r="AZ250" s="32" t="str">
        <f t="shared" si="225"/>
        <v>1+0.257078930554699i</v>
      </c>
      <c r="BA250" s="32">
        <f t="shared" si="251"/>
        <v>1.0325161386318122</v>
      </c>
      <c r="BB250" s="32">
        <f t="shared" si="252"/>
        <v>0.25163000906457178</v>
      </c>
      <c r="BC250" s="32" t="str">
        <f t="shared" si="226"/>
        <v>1+12.3397886666256i</v>
      </c>
      <c r="BD250" s="32">
        <f t="shared" si="253"/>
        <v>12.380241691379922</v>
      </c>
      <c r="BE250" s="32">
        <f t="shared" si="254"/>
        <v>1.489934366830592</v>
      </c>
      <c r="BF250" s="59" t="str">
        <f t="shared" si="255"/>
        <v>-0.599553972582783+0.207032933738124i</v>
      </c>
      <c r="BG250" s="50">
        <f t="shared" si="256"/>
        <v>-3.9542017162628036</v>
      </c>
      <c r="BH250" s="61">
        <f t="shared" si="257"/>
        <v>160.94961345265091</v>
      </c>
      <c r="BI250" s="59" t="str">
        <f t="shared" si="258"/>
        <v>0.366836394959637+1.08681993075915i</v>
      </c>
      <c r="BJ250" s="64">
        <f t="shared" si="259"/>
        <v>1.1917222427555114</v>
      </c>
      <c r="BK250" s="61">
        <f t="shared" si="260"/>
        <v>71.34882048578902</v>
      </c>
      <c r="BL250" s="59" t="str">
        <f t="shared" si="265"/>
        <v>1.73593487923051+6.72115225923052i</v>
      </c>
      <c r="BM250" s="64">
        <f t="shared" si="261"/>
        <v>16.829331119695851</v>
      </c>
      <c r="BN250" s="61">
        <f t="shared" si="266"/>
        <v>75.518165653035624</v>
      </c>
      <c r="BO250" s="50">
        <f t="shared" si="262"/>
        <v>1.1917222427555114</v>
      </c>
      <c r="BP250" s="61">
        <f t="shared" si="263"/>
        <v>71.34882048578902</v>
      </c>
    </row>
    <row r="251" spans="14:68" x14ac:dyDescent="0.25">
      <c r="N251" s="11">
        <v>33</v>
      </c>
      <c r="O251" s="51">
        <f t="shared" si="264"/>
        <v>2137.9620895022344</v>
      </c>
      <c r="P251" s="49" t="str">
        <f t="shared" si="214"/>
        <v>37.1583961085025</v>
      </c>
      <c r="Q251" s="18" t="str">
        <f t="shared" si="215"/>
        <v>1+10.5290847856848i</v>
      </c>
      <c r="R251" s="18">
        <f t="shared" si="227"/>
        <v>10.576465686803845</v>
      </c>
      <c r="S251" s="18">
        <f t="shared" si="228"/>
        <v>1.4761053410229767</v>
      </c>
      <c r="T251" s="18" t="str">
        <f t="shared" si="216"/>
        <v>1+0.0120898907892607i</v>
      </c>
      <c r="U251" s="18">
        <f t="shared" si="229"/>
        <v>1.0000730800593005</v>
      </c>
      <c r="V251" s="18">
        <f t="shared" si="230"/>
        <v>1.2089301799433799E-2</v>
      </c>
      <c r="W251" s="32" t="str">
        <f t="shared" si="217"/>
        <v>1-0.105821526728916i</v>
      </c>
      <c r="X251" s="18">
        <f t="shared" si="231"/>
        <v>1.0055835099678387</v>
      </c>
      <c r="Y251" s="18">
        <f t="shared" si="232"/>
        <v>-0.10542915629650339</v>
      </c>
      <c r="Z251" s="32" t="str">
        <f t="shared" si="218"/>
        <v>0.999885727952596+0.0254783254040345i</v>
      </c>
      <c r="AA251" s="18">
        <f t="shared" si="233"/>
        <v>1.0002102849044727</v>
      </c>
      <c r="AB251" s="18">
        <f t="shared" si="234"/>
        <v>2.547572441120723E-2</v>
      </c>
      <c r="AC251" s="32" t="str">
        <f>IMDIV(IMSUM(COMPLEX(0,2*PI()*O251*Constants!$B$61*Constants!$B$62),COMPLEX(1,0)),IMSUM(COMPLEX(0,2*PI()*O251*Constants!$B$61*Constants!$B$62),COMPLEX(2,0)))</f>
        <v>0.500360642055489+0.013423522825701i</v>
      </c>
      <c r="AD251" s="18">
        <f t="shared" si="235"/>
        <v>0.50054067075836439</v>
      </c>
      <c r="AE251" s="18">
        <f t="shared" si="236"/>
        <v>2.6821261849279812E-2</v>
      </c>
      <c r="AF251" s="66" t="str">
        <f t="shared" si="237"/>
        <v>0.00476805658413974-1.76812413162998i</v>
      </c>
      <c r="AG251" s="64">
        <f t="shared" si="238"/>
        <v>4.9502866121937315</v>
      </c>
      <c r="AH251" s="61">
        <f t="shared" si="239"/>
        <v>-89.845492264004577</v>
      </c>
      <c r="AI251" s="50" t="str">
        <f t="shared" si="219"/>
        <v>107.538871525172</v>
      </c>
      <c r="AJ251" s="50" t="str">
        <f t="shared" si="220"/>
        <v>1+10.0094875040957i</v>
      </c>
      <c r="AK251" s="50">
        <f t="shared" si="240"/>
        <v>10.059316084836382</v>
      </c>
      <c r="AL251" s="50">
        <f t="shared" si="241"/>
        <v>1.4712215218312577</v>
      </c>
      <c r="AM251" s="50" t="str">
        <f t="shared" si="221"/>
        <v>1+0.0120898907892607i</v>
      </c>
      <c r="AN251" s="50">
        <f t="shared" si="242"/>
        <v>1.0000730800593005</v>
      </c>
      <c r="AO251" s="50">
        <f t="shared" si="243"/>
        <v>1.2089301799433799E-2</v>
      </c>
      <c r="AP251" s="50" t="str">
        <f t="shared" si="222"/>
        <v>1-0.0347605315153969i</v>
      </c>
      <c r="AQ251" s="50">
        <f t="shared" si="244"/>
        <v>1.000603964888823</v>
      </c>
      <c r="AR251" s="50">
        <f t="shared" si="245"/>
        <v>-3.4746541336275492E-2</v>
      </c>
      <c r="AS251" s="59" t="str">
        <f t="shared" si="246"/>
        <v>0.822030979251643-10.6660839352402i</v>
      </c>
      <c r="AT251" s="50">
        <f t="shared" si="247"/>
        <v>20.585819531452223</v>
      </c>
      <c r="AU251" s="61">
        <f t="shared" si="248"/>
        <v>-85.592948130623157</v>
      </c>
      <c r="AV251" s="32" t="str">
        <f t="shared" si="223"/>
        <v>-0.0000333333333333333</v>
      </c>
      <c r="AW251" s="32" t="str">
        <f t="shared" si="224"/>
        <v>0.000644794175427236i</v>
      </c>
      <c r="AX251" s="32">
        <f t="shared" si="249"/>
        <v>6.4479417542723596E-4</v>
      </c>
      <c r="AY251" s="32">
        <f t="shared" si="250"/>
        <v>1.5707963267948966</v>
      </c>
      <c r="AZ251" s="32" t="str">
        <f t="shared" si="225"/>
        <v>1+0.263067068099653i</v>
      </c>
      <c r="BA251" s="32">
        <f t="shared" si="251"/>
        <v>1.0340233470858129</v>
      </c>
      <c r="BB251" s="32">
        <f t="shared" si="252"/>
        <v>0.25723876898946846</v>
      </c>
      <c r="BC251" s="32" t="str">
        <f t="shared" si="226"/>
        <v>1+12.6272192687834i</v>
      </c>
      <c r="BD251" s="32">
        <f t="shared" si="253"/>
        <v>12.666754377579712</v>
      </c>
      <c r="BE251" s="32">
        <f t="shared" si="254"/>
        <v>1.4917672668486479</v>
      </c>
      <c r="BF251" s="59" t="str">
        <f t="shared" si="255"/>
        <v>-0.597807408098569+0.208959525326773i</v>
      </c>
      <c r="BG251" s="50">
        <f t="shared" si="256"/>
        <v>-3.9681471204973118</v>
      </c>
      <c r="BH251" s="61">
        <f t="shared" si="257"/>
        <v>160.73327261595631</v>
      </c>
      <c r="BI251" s="59" t="str">
        <f t="shared" si="258"/>
        <v>0.366615999715981+1.0579940351668i</v>
      </c>
      <c r="BJ251" s="64">
        <f t="shared" si="259"/>
        <v>0.98213949169638648</v>
      </c>
      <c r="BK251" s="61">
        <f t="shared" si="260"/>
        <v>70.88778035195169</v>
      </c>
      <c r="BL251" s="59" t="str">
        <f t="shared" si="265"/>
        <v>1.73736362712016+6.54803519511606i</v>
      </c>
      <c r="BM251" s="64">
        <f t="shared" si="261"/>
        <v>16.617672410954921</v>
      </c>
      <c r="BN251" s="61">
        <f t="shared" si="266"/>
        <v>75.140324485333139</v>
      </c>
      <c r="BO251" s="50">
        <f t="shared" si="262"/>
        <v>0.98213949169638648</v>
      </c>
      <c r="BP251" s="61">
        <f t="shared" si="263"/>
        <v>70.88778035195169</v>
      </c>
    </row>
    <row r="252" spans="14:68" x14ac:dyDescent="0.25">
      <c r="N252" s="11">
        <v>34</v>
      </c>
      <c r="O252" s="51">
        <f t="shared" si="264"/>
        <v>2187.7616239495528</v>
      </c>
      <c r="P252" s="49" t="str">
        <f t="shared" si="214"/>
        <v>37.1583961085025</v>
      </c>
      <c r="Q252" s="18" t="str">
        <f t="shared" si="215"/>
        <v>1+10.7743386763211i</v>
      </c>
      <c r="R252" s="18">
        <f t="shared" si="227"/>
        <v>10.820645725282237</v>
      </c>
      <c r="S252" s="18">
        <f t="shared" si="228"/>
        <v>1.4782483426219672</v>
      </c>
      <c r="T252" s="18" t="str">
        <f t="shared" si="216"/>
        <v>1+0.0123715005220901i</v>
      </c>
      <c r="U252" s="18">
        <f t="shared" si="229"/>
        <v>1.0000765240846161</v>
      </c>
      <c r="V252" s="18">
        <f t="shared" si="230"/>
        <v>1.237086941072814E-2</v>
      </c>
      <c r="W252" s="32" t="str">
        <f t="shared" si="217"/>
        <v>1-0.10828642673415i</v>
      </c>
      <c r="X252" s="18">
        <f t="shared" si="231"/>
        <v>1.0058458879047278</v>
      </c>
      <c r="Y252" s="18">
        <f t="shared" si="232"/>
        <v>-0.10786612609992759</v>
      </c>
      <c r="Z252" s="32" t="str">
        <f t="shared" si="218"/>
        <v>0.999880342476919+0.0260717918409972i</v>
      </c>
      <c r="AA252" s="18">
        <f t="shared" si="233"/>
        <v>1.0002201945579587</v>
      </c>
      <c r="AB252" s="18">
        <f t="shared" si="234"/>
        <v>2.6069004856747541E-2</v>
      </c>
      <c r="AC252" s="32" t="str">
        <f>IMDIV(IMSUM(COMPLEX(0,2*PI()*O252*Constants!$B$61*Constants!$B$62),COMPLEX(1,0)),IMSUM(COMPLEX(0,2*PI()*O252*Constants!$B$61*Constants!$B$62),COMPLEX(2,0)))</f>
        <v>0.50037762575527+0.0137357299195923i</v>
      </c>
      <c r="AD252" s="18">
        <f t="shared" si="235"/>
        <v>0.50056611814315299</v>
      </c>
      <c r="AE252" s="18">
        <f t="shared" si="236"/>
        <v>2.7443835655279122E-2</v>
      </c>
      <c r="AF252" s="66" t="str">
        <f t="shared" si="237"/>
        <v>-0.00271837062852145-1.72875621232756i</v>
      </c>
      <c r="AG252" s="64">
        <f t="shared" si="238"/>
        <v>4.7546858136117498</v>
      </c>
      <c r="AH252" s="61">
        <f t="shared" si="239"/>
        <v>-90.090094273956737</v>
      </c>
      <c r="AI252" s="50" t="str">
        <f t="shared" si="219"/>
        <v>107.538871525172</v>
      </c>
      <c r="AJ252" s="50" t="str">
        <f t="shared" si="220"/>
        <v>1+10.2426384192629i</v>
      </c>
      <c r="AK252" s="50">
        <f t="shared" si="240"/>
        <v>10.291338192274141</v>
      </c>
      <c r="AL252" s="50">
        <f t="shared" si="241"/>
        <v>1.4734736711789069</v>
      </c>
      <c r="AM252" s="50" t="str">
        <f t="shared" si="221"/>
        <v>1+0.0123715005220901i</v>
      </c>
      <c r="AN252" s="50">
        <f t="shared" si="242"/>
        <v>1.0000765240846161</v>
      </c>
      <c r="AO252" s="50">
        <f t="shared" si="243"/>
        <v>1.237086941072814E-2</v>
      </c>
      <c r="AP252" s="50" t="str">
        <f t="shared" si="222"/>
        <v>1-0.03557020830766i</v>
      </c>
      <c r="AQ252" s="50">
        <f t="shared" si="244"/>
        <v>1.0006324198820715</v>
      </c>
      <c r="AR252" s="50">
        <f t="shared" si="245"/>
        <v>-3.5555218072305023E-2</v>
      </c>
      <c r="AS252" s="59" t="str">
        <f t="shared" si="246"/>
        <v>0.774544133966145-10.4281383600788i</v>
      </c>
      <c r="AT252" s="50">
        <f t="shared" si="247"/>
        <v>20.388028541032753</v>
      </c>
      <c r="AU252" s="61">
        <f t="shared" si="248"/>
        <v>-85.752187911266759</v>
      </c>
      <c r="AV252" s="32" t="str">
        <f t="shared" si="223"/>
        <v>-0.0000333333333333333</v>
      </c>
      <c r="AW252" s="32" t="str">
        <f t="shared" si="224"/>
        <v>0.000659813361178137i</v>
      </c>
      <c r="AX252" s="32">
        <f t="shared" si="249"/>
        <v>6.5981336117813697E-4</v>
      </c>
      <c r="AY252" s="32">
        <f t="shared" si="250"/>
        <v>1.5707963267948966</v>
      </c>
      <c r="AZ252" s="32" t="str">
        <f t="shared" si="225"/>
        <v>1+0.26919468728622i</v>
      </c>
      <c r="BA252" s="32">
        <f t="shared" si="251"/>
        <v>1.0355992369942757</v>
      </c>
      <c r="BB252" s="32">
        <f t="shared" si="252"/>
        <v>0.26296108807341501</v>
      </c>
      <c r="BC252" s="32" t="str">
        <f t="shared" si="226"/>
        <v>1+12.9213449897386i</v>
      </c>
      <c r="BD252" s="32">
        <f t="shared" si="253"/>
        <v>12.959982883624608</v>
      </c>
      <c r="BE252" s="32">
        <f t="shared" si="254"/>
        <v>1.4935589592834595</v>
      </c>
      <c r="BF252" s="59" t="str">
        <f t="shared" si="255"/>
        <v>-0.595989403915076+0.210956517883745i</v>
      </c>
      <c r="BG252" s="50">
        <f t="shared" si="256"/>
        <v>-3.9825930856022644</v>
      </c>
      <c r="BH252" s="61">
        <f t="shared" si="257"/>
        <v>160.50806429811919</v>
      </c>
      <c r="BI252" s="59" t="str">
        <f t="shared" si="258"/>
        <v>0.366312510913027+1.02974692649748i</v>
      </c>
      <c r="BJ252" s="64">
        <f t="shared" si="259"/>
        <v>0.77209272800950979</v>
      </c>
      <c r="BK252" s="61">
        <f t="shared" si="260"/>
        <v>70.417970024162486</v>
      </c>
      <c r="BL252" s="59" t="str">
        <f t="shared" si="265"/>
        <v>1.73826365974373+6.37845509861608i</v>
      </c>
      <c r="BM252" s="64">
        <f t="shared" si="261"/>
        <v>16.405435455430489</v>
      </c>
      <c r="BN252" s="61">
        <f t="shared" si="266"/>
        <v>74.755876386852421</v>
      </c>
      <c r="BO252" s="50">
        <f t="shared" si="262"/>
        <v>0.77209272800950979</v>
      </c>
      <c r="BP252" s="61">
        <f t="shared" si="263"/>
        <v>70.417970024162486</v>
      </c>
    </row>
    <row r="253" spans="14:68" x14ac:dyDescent="0.25">
      <c r="N253" s="11">
        <v>35</v>
      </c>
      <c r="O253" s="51">
        <f t="shared" si="264"/>
        <v>2238.7211385683418</v>
      </c>
      <c r="P253" s="49" t="str">
        <f t="shared" si="214"/>
        <v>37.1583961085025</v>
      </c>
      <c r="Q253" s="18" t="str">
        <f t="shared" si="215"/>
        <v>1+11.0253052639389i</v>
      </c>
      <c r="R253" s="18">
        <f t="shared" si="227"/>
        <v>11.07056259469404</v>
      </c>
      <c r="S253" s="18">
        <f t="shared" si="228"/>
        <v>1.4803433876102319</v>
      </c>
      <c r="T253" s="18" t="str">
        <f t="shared" si="216"/>
        <v>1+0.0126596697882525i</v>
      </c>
      <c r="U253" s="18">
        <f t="shared" si="229"/>
        <v>1.0000801304091327</v>
      </c>
      <c r="V253" s="18">
        <f t="shared" si="230"/>
        <v>1.2658993543170774E-2</v>
      </c>
      <c r="W253" s="32" t="str">
        <f t="shared" si="217"/>
        <v>1-0.11080874163618i</v>
      </c>
      <c r="X253" s="18">
        <f t="shared" si="231"/>
        <v>1.0061205579964032</v>
      </c>
      <c r="Y253" s="18">
        <f t="shared" si="232"/>
        <v>-0.11035852922781031</v>
      </c>
      <c r="Z253" s="32" t="str">
        <f t="shared" si="218"/>
        <v>0.999874703191593+0.0266790818870951i</v>
      </c>
      <c r="AA253" s="18">
        <f t="shared" si="233"/>
        <v>1.0002305711648762</v>
      </c>
      <c r="AB253" s="18">
        <f t="shared" si="234"/>
        <v>2.6676095613078262E-2</v>
      </c>
      <c r="AC253" s="32" t="str">
        <f>IMDIV(IMSUM(COMPLEX(0,2*PI()*O253*Constants!$B$61*Constants!$B$62),COMPLEX(1,0)),IMSUM(COMPLEX(0,2*PI()*O253*Constants!$B$61*Constants!$B$62),COMPLEX(2,0)))</f>
        <v>0.500395408634684+0.0140551758919549i</v>
      </c>
      <c r="AD253" s="18">
        <f t="shared" si="235"/>
        <v>0.50059276158572874</v>
      </c>
      <c r="AE253" s="18">
        <f t="shared" si="236"/>
        <v>2.8080756040777515E-2</v>
      </c>
      <c r="AF253" s="66" t="str">
        <f t="shared" si="237"/>
        <v>-0.00987440330189608-1.69024290022197i</v>
      </c>
      <c r="AG253" s="64">
        <f t="shared" si="238"/>
        <v>4.5591306254153787</v>
      </c>
      <c r="AH253" s="61">
        <f t="shared" si="239"/>
        <v>-90.334718281126598</v>
      </c>
      <c r="AI253" s="50" t="str">
        <f t="shared" si="219"/>
        <v>107.538871525172</v>
      </c>
      <c r="AJ253" s="50" t="str">
        <f t="shared" si="220"/>
        <v>1+10.4812201168974i</v>
      </c>
      <c r="AK253" s="50">
        <f t="shared" si="240"/>
        <v>10.528816416808434</v>
      </c>
      <c r="AL253" s="50">
        <f t="shared" si="241"/>
        <v>1.475675512775207</v>
      </c>
      <c r="AM253" s="50" t="str">
        <f t="shared" si="221"/>
        <v>1+0.0126596697882525i</v>
      </c>
      <c r="AN253" s="50">
        <f t="shared" si="242"/>
        <v>1.0000801304091327</v>
      </c>
      <c r="AO253" s="50">
        <f t="shared" si="243"/>
        <v>1.2658993543170774E-2</v>
      </c>
      <c r="AP253" s="50" t="str">
        <f t="shared" si="222"/>
        <v>1-0.0363987448951952i</v>
      </c>
      <c r="AQ253" s="50">
        <f t="shared" si="244"/>
        <v>1.0006622150505862</v>
      </c>
      <c r="AR253" s="50">
        <f t="shared" si="245"/>
        <v>-3.6382683142663519E-2</v>
      </c>
      <c r="AS253" s="59" t="str">
        <f t="shared" si="246"/>
        <v>0.72915508094237-10.195308250763i</v>
      </c>
      <c r="AT253" s="50">
        <f t="shared" si="247"/>
        <v>20.190164430227405</v>
      </c>
      <c r="AU253" s="61">
        <f t="shared" si="248"/>
        <v>-85.909246101352281</v>
      </c>
      <c r="AV253" s="32" t="str">
        <f t="shared" si="223"/>
        <v>-0.0000333333333333333</v>
      </c>
      <c r="AW253" s="32" t="str">
        <f t="shared" si="224"/>
        <v>0.000675182388706798i</v>
      </c>
      <c r="AX253" s="32">
        <f t="shared" si="249"/>
        <v>6.7518238870679795E-4</v>
      </c>
      <c r="AY253" s="32">
        <f t="shared" si="250"/>
        <v>1.5707963267948966</v>
      </c>
      <c r="AZ253" s="32" t="str">
        <f t="shared" si="225"/>
        <v>1+0.275465037059198i</v>
      </c>
      <c r="BA253" s="32">
        <f t="shared" si="251"/>
        <v>1.0372468301431561</v>
      </c>
      <c r="BB253" s="32">
        <f t="shared" si="252"/>
        <v>0.26879850073439054</v>
      </c>
      <c r="BC253" s="32" t="str">
        <f t="shared" si="226"/>
        <v>1+13.2223217788415i</v>
      </c>
      <c r="BD253" s="32">
        <f t="shared" si="253"/>
        <v>13.260082700467077</v>
      </c>
      <c r="BE253" s="32">
        <f t="shared" si="254"/>
        <v>1.4953103480753944</v>
      </c>
      <c r="BF253" s="59" t="str">
        <f t="shared" si="255"/>
        <v>-0.594097533720443+0.213022475315906i</v>
      </c>
      <c r="BG253" s="50">
        <f t="shared" si="256"/>
        <v>-3.9975648811040876</v>
      </c>
      <c r="BH253" s="61">
        <f t="shared" si="257"/>
        <v>160.27395237543348</v>
      </c>
      <c r="BI253" s="59" t="str">
        <f t="shared" si="258"/>
        <v>0.365926085139037+1.00206566857672i</v>
      </c>
      <c r="BJ253" s="64">
        <f t="shared" si="259"/>
        <v>0.56156574431125839</v>
      </c>
      <c r="BK253" s="61">
        <f t="shared" si="260"/>
        <v>69.939234094306812</v>
      </c>
      <c r="BL253" s="59" t="str">
        <f t="shared" si="265"/>
        <v>1.73864056489862+6.2123339075295i</v>
      </c>
      <c r="BM253" s="64">
        <f t="shared" si="261"/>
        <v>16.192599549123319</v>
      </c>
      <c r="BN253" s="61">
        <f t="shared" si="266"/>
        <v>74.364706274081229</v>
      </c>
      <c r="BO253" s="50">
        <f t="shared" si="262"/>
        <v>0.56156574431125839</v>
      </c>
      <c r="BP253" s="61">
        <f t="shared" si="263"/>
        <v>69.939234094306812</v>
      </c>
    </row>
    <row r="254" spans="14:68" x14ac:dyDescent="0.25">
      <c r="N254" s="11">
        <v>36</v>
      </c>
      <c r="O254" s="51">
        <f t="shared" si="264"/>
        <v>2290.8676527677749</v>
      </c>
      <c r="P254" s="49" t="str">
        <f t="shared" si="214"/>
        <v>37.1583961085025</v>
      </c>
      <c r="Q254" s="18" t="str">
        <f t="shared" si="215"/>
        <v>1+11.2821176143448i</v>
      </c>
      <c r="R254" s="18">
        <f t="shared" si="227"/>
        <v>11.326348831989471</v>
      </c>
      <c r="S254" s="18">
        <f t="shared" si="228"/>
        <v>1.482391513202908</v>
      </c>
      <c r="T254" s="18" t="str">
        <f t="shared" si="216"/>
        <v>1+0.0129545513789072i</v>
      </c>
      <c r="U254" s="18">
        <f t="shared" si="229"/>
        <v>1.0000839066805489</v>
      </c>
      <c r="V254" s="18">
        <f t="shared" si="230"/>
        <v>1.2953826772530461E-2</v>
      </c>
      <c r="W254" s="32" t="str">
        <f t="shared" si="217"/>
        <v>1-0.113389808799751i</v>
      </c>
      <c r="X254" s="18">
        <f t="shared" si="231"/>
        <v>1.0064080925447907</v>
      </c>
      <c r="Y254" s="18">
        <f t="shared" si="232"/>
        <v>-0.11290756325404015</v>
      </c>
      <c r="Z254" s="32" t="str">
        <f t="shared" si="218"/>
        <v>0.999868798134938+0.0273005175355487i</v>
      </c>
      <c r="AA254" s="18">
        <f t="shared" si="233"/>
        <v>1.0002414367249111</v>
      </c>
      <c r="AB254" s="18">
        <f t="shared" si="234"/>
        <v>2.7297317722774581E-2</v>
      </c>
      <c r="AC254" s="32" t="str">
        <f>IMDIV(IMSUM(COMPLEX(0,2*PI()*O254*Constants!$B$61*Constants!$B$62),COMPLEX(1,0)),IMSUM(COMPLEX(0,2*PI()*O254*Constants!$B$61*Constants!$B$62),COMPLEX(2,0)))</f>
        <v>0.500414028238663+0.0143820269763633i</v>
      </c>
      <c r="AD254" s="18">
        <f t="shared" si="235"/>
        <v>0.50062065714270543</v>
      </c>
      <c r="AE254" s="18">
        <f t="shared" si="236"/>
        <v>2.8732346145385272E-2</v>
      </c>
      <c r="AF254" s="66" t="str">
        <f t="shared" si="237"/>
        <v>-0.0167144666690073-1.65256784193331i</v>
      </c>
      <c r="AG254" s="64">
        <f t="shared" si="238"/>
        <v>4.3636301985294885</v>
      </c>
      <c r="AH254" s="61">
        <f t="shared" si="239"/>
        <v>-90.579483467394695</v>
      </c>
      <c r="AI254" s="50" t="str">
        <f t="shared" si="219"/>
        <v>107.538871525172</v>
      </c>
      <c r="AJ254" s="50" t="str">
        <f t="shared" si="220"/>
        <v>1+10.7253590961732i</v>
      </c>
      <c r="AK254" s="50">
        <f t="shared" si="240"/>
        <v>10.771876704728159</v>
      </c>
      <c r="AL254" s="50">
        <f t="shared" si="241"/>
        <v>1.4778281286206281</v>
      </c>
      <c r="AM254" s="50" t="str">
        <f t="shared" si="221"/>
        <v>1+0.0129545513789072i</v>
      </c>
      <c r="AN254" s="50">
        <f t="shared" si="242"/>
        <v>1.0000839066805489</v>
      </c>
      <c r="AO254" s="50">
        <f t="shared" si="243"/>
        <v>1.2953826772530461E-2</v>
      </c>
      <c r="AP254" s="50" t="str">
        <f t="shared" si="222"/>
        <v>1-0.0372465805790681i</v>
      </c>
      <c r="AQ254" s="50">
        <f t="shared" si="244"/>
        <v>1.0006934134712955</v>
      </c>
      <c r="AR254" s="50">
        <f t="shared" si="245"/>
        <v>-3.7229370745183225E-2</v>
      </c>
      <c r="AS254" s="59" t="str">
        <f t="shared" si="246"/>
        <v>0.685772830758669-9.96749727552777i</v>
      </c>
      <c r="AT254" s="50">
        <f t="shared" si="247"/>
        <v>19.992231619543141</v>
      </c>
      <c r="AU254" s="61">
        <f t="shared" si="248"/>
        <v>-86.06420083069581</v>
      </c>
      <c r="AV254" s="32" t="str">
        <f t="shared" si="223"/>
        <v>-0.0000333333333333333</v>
      </c>
      <c r="AW254" s="32" t="str">
        <f t="shared" si="224"/>
        <v>0.000690909406875047i</v>
      </c>
      <c r="AX254" s="32">
        <f t="shared" si="249"/>
        <v>6.9090940687504697E-4</v>
      </c>
      <c r="AY254" s="32">
        <f t="shared" si="250"/>
        <v>1.5707963267948966</v>
      </c>
      <c r="AZ254" s="32" t="str">
        <f t="shared" si="225"/>
        <v>1+0.281881442041035i</v>
      </c>
      <c r="BA254" s="32">
        <f t="shared" si="251"/>
        <v>1.038969271618335</v>
      </c>
      <c r="BB254" s="32">
        <f t="shared" si="252"/>
        <v>0.27475251010623103</v>
      </c>
      <c r="BC254" s="32" t="str">
        <f t="shared" si="226"/>
        <v>1+13.5303092179697i</v>
      </c>
      <c r="BD254" s="32">
        <f t="shared" si="253"/>
        <v>13.567212961175033</v>
      </c>
      <c r="BE254" s="32">
        <f t="shared" si="254"/>
        <v>1.4970223188327858</v>
      </c>
      <c r="BF254" s="59" t="str">
        <f t="shared" si="255"/>
        <v>-0.592129333063143+0.215155862250089i</v>
      </c>
      <c r="BG254" s="50">
        <f t="shared" si="256"/>
        <v>-4.013088430252842</v>
      </c>
      <c r="BH254" s="61">
        <f t="shared" si="257"/>
        <v>160.03090146629404</v>
      </c>
      <c r="BI254" s="59" t="str">
        <f t="shared" si="258"/>
        <v>0.365456784959156+0.974937678597348i</v>
      </c>
      <c r="BJ254" s="64">
        <f t="shared" si="259"/>
        <v>0.3505417682766524</v>
      </c>
      <c r="BK254" s="61">
        <f t="shared" si="260"/>
        <v>69.451417998899359</v>
      </c>
      <c r="BL254" s="59" t="str">
        <f t="shared" si="265"/>
        <v>1.73849926188164+6.04959555877652i</v>
      </c>
      <c r="BM254" s="64">
        <f t="shared" si="261"/>
        <v>15.979143189290305</v>
      </c>
      <c r="BN254" s="61">
        <f t="shared" si="266"/>
        <v>73.966700635598215</v>
      </c>
      <c r="BO254" s="50">
        <f t="shared" si="262"/>
        <v>0.3505417682766524</v>
      </c>
      <c r="BP254" s="61">
        <f t="shared" si="263"/>
        <v>69.451417998899359</v>
      </c>
    </row>
    <row r="255" spans="14:68" x14ac:dyDescent="0.25">
      <c r="N255" s="11">
        <v>37</v>
      </c>
      <c r="O255" s="51">
        <f t="shared" si="264"/>
        <v>2344.2288153199238</v>
      </c>
      <c r="P255" s="49" t="str">
        <f t="shared" si="214"/>
        <v>37.1583961085025</v>
      </c>
      <c r="Q255" s="18" t="str">
        <f t="shared" si="215"/>
        <v>1+11.5449118928463i</v>
      </c>
      <c r="R255" s="18">
        <f t="shared" si="227"/>
        <v>11.588140084309645</v>
      </c>
      <c r="S255" s="18">
        <f t="shared" si="228"/>
        <v>1.4843937365731315</v>
      </c>
      <c r="T255" s="18" t="str">
        <f t="shared" si="216"/>
        <v>1+0.0132563016441767i</v>
      </c>
      <c r="U255" s="18">
        <f t="shared" si="229"/>
        <v>1.0000878609068713</v>
      </c>
      <c r="V255" s="18">
        <f t="shared" si="230"/>
        <v>1.3255525218139323E-2</v>
      </c>
      <c r="W255" s="32" t="str">
        <f t="shared" si="217"/>
        <v>1-0.11603099674084i</v>
      </c>
      <c r="X255" s="18">
        <f t="shared" si="231"/>
        <v>1.0067090901569693</v>
      </c>
      <c r="Y255" s="18">
        <f t="shared" si="232"/>
        <v>-0.11551444713808019</v>
      </c>
      <c r="Z255" s="32" t="str">
        <f t="shared" si="218"/>
        <v>0.999862614781536+0.0279364282797649i</v>
      </c>
      <c r="AA255" s="18">
        <f t="shared" si="233"/>
        <v>1.000252814273872</v>
      </c>
      <c r="AB255" s="18">
        <f t="shared" si="234"/>
        <v>2.7932999660662674E-2</v>
      </c>
      <c r="AC255" s="32" t="str">
        <f>IMDIV(IMSUM(COMPLEX(0,2*PI()*O255*Constants!$B$61*Constants!$B$62),COMPLEX(1,0)),IMSUM(COMPLEX(0,2*PI()*O255*Constants!$B$61*Constants!$B$62),COMPLEX(2,0)))</f>
        <v>0.500433523870091+0.0147164531086588i</v>
      </c>
      <c r="AD255" s="18">
        <f t="shared" si="235"/>
        <v>0.50064986348259022</v>
      </c>
      <c r="AE255" s="18">
        <f t="shared" si="236"/>
        <v>2.9398935852729811E-2</v>
      </c>
      <c r="AF255" s="66" t="str">
        <f t="shared" si="237"/>
        <v>-0.023252381000494-1.61571486392564i</v>
      </c>
      <c r="AG255" s="64">
        <f t="shared" si="238"/>
        <v>4.1681937898002355</v>
      </c>
      <c r="AH255" s="61">
        <f t="shared" si="239"/>
        <v>-90.824508928024017</v>
      </c>
      <c r="AI255" s="50" t="str">
        <f t="shared" si="219"/>
        <v>107.538871525172</v>
      </c>
      <c r="AJ255" s="50" t="str">
        <f t="shared" si="220"/>
        <v>1+10.9751848028087i</v>
      </c>
      <c r="AK255" s="50">
        <f t="shared" si="240"/>
        <v>11.020647959888885</v>
      </c>
      <c r="AL255" s="50">
        <f t="shared" si="241"/>
        <v>1.4799325802190362</v>
      </c>
      <c r="AM255" s="50" t="str">
        <f t="shared" si="221"/>
        <v>1+0.0132563016441767i</v>
      </c>
      <c r="AN255" s="50">
        <f t="shared" si="242"/>
        <v>1.0000878609068713</v>
      </c>
      <c r="AO255" s="50">
        <f t="shared" si="243"/>
        <v>1.3255525218139323E-2</v>
      </c>
      <c r="AP255" s="50" t="str">
        <f t="shared" si="222"/>
        <v>1-0.0381141648929808i</v>
      </c>
      <c r="AQ255" s="50">
        <f t="shared" si="244"/>
        <v>1.0007260811858005</v>
      </c>
      <c r="AR255" s="50">
        <f t="shared" si="245"/>
        <v>-3.8095724946279497E-2</v>
      </c>
      <c r="AS255" s="59" t="str">
        <f t="shared" si="246"/>
        <v>0.644310193535911-9.7446100066935i</v>
      </c>
      <c r="AT255" s="50">
        <f t="shared" si="247"/>
        <v>19.79423439293652</v>
      </c>
      <c r="AU255" s="61">
        <f t="shared" si="248"/>
        <v>-86.217129417141365</v>
      </c>
      <c r="AV255" s="32" t="str">
        <f t="shared" si="223"/>
        <v>-0.0000333333333333333</v>
      </c>
      <c r="AW255" s="32" t="str">
        <f t="shared" si="224"/>
        <v>0.000707002754356087i</v>
      </c>
      <c r="AX255" s="32">
        <f t="shared" si="249"/>
        <v>7.0700275435608701E-4</v>
      </c>
      <c r="AY255" s="32">
        <f t="shared" si="250"/>
        <v>1.5707963267948966</v>
      </c>
      <c r="AZ255" s="32" t="str">
        <f t="shared" si="225"/>
        <v>1+0.288447304294585i</v>
      </c>
      <c r="BA255" s="32">
        <f t="shared" si="251"/>
        <v>1.0407698339954001</v>
      </c>
      <c r="BB255" s="32">
        <f t="shared" si="252"/>
        <v>0.28082458384505488</v>
      </c>
      <c r="BC255" s="32" t="str">
        <f t="shared" si="226"/>
        <v>1+13.8454706061401i</v>
      </c>
      <c r="BD255" s="32">
        <f t="shared" si="253"/>
        <v>13.881536525381096</v>
      </c>
      <c r="BE255" s="32">
        <f t="shared" si="254"/>
        <v>1.498695739102565</v>
      </c>
      <c r="BF255" s="59" t="str">
        <f t="shared" si="255"/>
        <v>-0.590082303036706+0.217355037844431i</v>
      </c>
      <c r="BG255" s="50">
        <f t="shared" si="256"/>
        <v>-4.0291903261796218</v>
      </c>
      <c r="BH255" s="61">
        <f t="shared" si="257"/>
        <v>159.77887718697713</v>
      </c>
      <c r="BI255" s="59" t="str">
        <f t="shared" si="258"/>
        <v>0.364904583926226+0.948350725803544i</v>
      </c>
      <c r="BJ255" s="64">
        <f t="shared" si="259"/>
        <v>0.13900346362061439</v>
      </c>
      <c r="BK255" s="61">
        <f t="shared" si="260"/>
        <v>68.954368258953082</v>
      </c>
      <c r="BL255" s="59" t="str">
        <f t="shared" si="265"/>
        <v>1.73784403391239+5.89016598144378i</v>
      </c>
      <c r="BM255" s="64">
        <f t="shared" si="261"/>
        <v>15.7650440667569</v>
      </c>
      <c r="BN255" s="61">
        <f t="shared" si="266"/>
        <v>73.561747769835762</v>
      </c>
      <c r="BO255" s="50">
        <f t="shared" si="262"/>
        <v>0.13900346362061439</v>
      </c>
      <c r="BP255" s="61">
        <f t="shared" si="263"/>
        <v>68.954368258953082</v>
      </c>
    </row>
    <row r="256" spans="14:68" x14ac:dyDescent="0.25">
      <c r="N256" s="11">
        <v>38</v>
      </c>
      <c r="O256" s="51">
        <f t="shared" si="264"/>
        <v>2398.8329190194918</v>
      </c>
      <c r="P256" s="49" t="str">
        <f t="shared" si="214"/>
        <v>37.1583961085025</v>
      </c>
      <c r="Q256" s="18" t="str">
        <f t="shared" si="215"/>
        <v>1+11.8138274364483i</v>
      </c>
      <c r="R256" s="18">
        <f t="shared" si="227"/>
        <v>11.856075181027597</v>
      </c>
      <c r="S256" s="18">
        <f t="shared" si="228"/>
        <v>1.4863510550769519</v>
      </c>
      <c r="T256" s="18" t="str">
        <f t="shared" si="216"/>
        <v>1+0.0135650805760458i</v>
      </c>
      <c r="U256" s="18">
        <f t="shared" si="229"/>
        <v>1.0000920014733816</v>
      </c>
      <c r="V256" s="18">
        <f t="shared" si="230"/>
        <v>1.3564248624691128E-2</v>
      </c>
      <c r="W256" s="32" t="str">
        <f t="shared" si="217"/>
        <v>1-0.118733705852252i</v>
      </c>
      <c r="X256" s="18">
        <f t="shared" si="231"/>
        <v>1.0070241769219888</v>
      </c>
      <c r="Y256" s="18">
        <f t="shared" si="232"/>
        <v>-0.11818042127986654</v>
      </c>
      <c r="Z256" s="32" t="str">
        <f t="shared" si="218"/>
        <v>0.999856140015666+0.0285871512880372i</v>
      </c>
      <c r="AA256" s="18">
        <f t="shared" si="233"/>
        <v>1.000264727932457</v>
      </c>
      <c r="AB256" s="18">
        <f t="shared" si="234"/>
        <v>2.8583477503667704E-2</v>
      </c>
      <c r="AC256" s="32" t="str">
        <f>IMDIV(IMSUM(COMPLEX(0,2*PI()*O256*Constants!$B$61*Constants!$B$62),COMPLEX(1,0)),IMSUM(COMPLEX(0,2*PI()*O256*Constants!$B$61*Constants!$B$62),COMPLEX(2,0)))</f>
        <v>0.500453936671555+0.0150586280011041i</v>
      </c>
      <c r="AD256" s="18">
        <f t="shared" si="235"/>
        <v>0.50068044200600892</v>
      </c>
      <c r="AE256" s="18">
        <f t="shared" si="236"/>
        <v>3.0080861892323143E-2</v>
      </c>
      <c r="AF256" s="66" t="str">
        <f t="shared" si="237"/>
        <v>-0.0295013853069985-1.57966798080215i</v>
      </c>
      <c r="AG256" s="64">
        <f t="shared" si="238"/>
        <v>3.9728307792770527</v>
      </c>
      <c r="AH256" s="61">
        <f t="shared" si="239"/>
        <v>-91.06991368690106</v>
      </c>
      <c r="AI256" s="50" t="str">
        <f t="shared" si="219"/>
        <v>107.538871525172</v>
      </c>
      <c r="AJ256" s="50" t="str">
        <f t="shared" si="220"/>
        <v>1+11.2308296977003i</v>
      </c>
      <c r="AK256" s="50">
        <f t="shared" si="240"/>
        <v>11.275262112197082</v>
      </c>
      <c r="AL256" s="50">
        <f t="shared" si="241"/>
        <v>1.4819899087771848</v>
      </c>
      <c r="AM256" s="50" t="str">
        <f t="shared" si="221"/>
        <v>1+0.0135650805760458i</v>
      </c>
      <c r="AN256" s="50">
        <f t="shared" si="242"/>
        <v>1.0000920014733816</v>
      </c>
      <c r="AO256" s="50">
        <f t="shared" si="243"/>
        <v>1.3564248624691128E-2</v>
      </c>
      <c r="AP256" s="50" t="str">
        <f t="shared" si="222"/>
        <v>1-0.0390019578416203i</v>
      </c>
      <c r="AQ256" s="50">
        <f t="shared" si="244"/>
        <v>1.0007602873393207</v>
      </c>
      <c r="AR256" s="50">
        <f t="shared" si="245"/>
        <v>-3.8982199893375161E-2</v>
      </c>
      <c r="AS256" s="59" t="str">
        <f t="shared" si="246"/>
        <v>0.604683633198952-9.52655198170829i</v>
      </c>
      <c r="AT256" s="50">
        <f t="shared" si="247"/>
        <v>19.596176906070074</v>
      </c>
      <c r="AU256" s="61">
        <f t="shared" si="248"/>
        <v>-86.368108385475367</v>
      </c>
      <c r="AV256" s="32" t="str">
        <f t="shared" si="223"/>
        <v>-0.0000333333333333333</v>
      </c>
      <c r="AW256" s="32" t="str">
        <f t="shared" si="224"/>
        <v>0.000723470964055776i</v>
      </c>
      <c r="AX256" s="32">
        <f t="shared" si="249"/>
        <v>7.23470964055776E-4</v>
      </c>
      <c r="AY256" s="32">
        <f t="shared" si="250"/>
        <v>1.5707963267948966</v>
      </c>
      <c r="AZ256" s="32" t="str">
        <f t="shared" si="225"/>
        <v>1+0.295166105126923i</v>
      </c>
      <c r="BA256" s="32">
        <f t="shared" si="251"/>
        <v>1.0426519215998202</v>
      </c>
      <c r="BB256" s="32">
        <f t="shared" si="252"/>
        <v>0.28701614972347017</v>
      </c>
      <c r="BC256" s="32" t="str">
        <f t="shared" si="226"/>
        <v>1+14.1679730460923i</v>
      </c>
      <c r="BD256" s="32">
        <f t="shared" si="253"/>
        <v>14.203220065703338</v>
      </c>
      <c r="BE256" s="32">
        <f t="shared" si="254"/>
        <v>1.5003314586441934</v>
      </c>
      <c r="BF256" s="59" t="str">
        <f t="shared" si="255"/>
        <v>-0.587953914440239+0.219618249560408i</v>
      </c>
      <c r="BG256" s="50">
        <f t="shared" si="256"/>
        <v>-4.0458978466317834</v>
      </c>
      <c r="BH256" s="61">
        <f t="shared" si="257"/>
        <v>159.51784641976914</v>
      </c>
      <c r="BI256" s="59" t="str">
        <f t="shared" si="258"/>
        <v>0.364269371803052+0.922292930227802i</v>
      </c>
      <c r="BJ256" s="64">
        <f t="shared" si="259"/>
        <v>-7.3067067354733214E-2</v>
      </c>
      <c r="BK256" s="61">
        <f t="shared" si="260"/>
        <v>68.447932732868054</v>
      </c>
      <c r="BL256" s="59" t="str">
        <f t="shared" si="265"/>
        <v>1.73667856143174+5.73397308982479i</v>
      </c>
      <c r="BM256" s="64">
        <f t="shared" si="261"/>
        <v>15.550279059438294</v>
      </c>
      <c r="BN256" s="61">
        <f t="shared" si="266"/>
        <v>73.149738034293776</v>
      </c>
      <c r="BO256" s="50">
        <f t="shared" si="262"/>
        <v>-7.3067067354733214E-2</v>
      </c>
      <c r="BP256" s="61">
        <f t="shared" si="263"/>
        <v>68.447932732868054</v>
      </c>
    </row>
    <row r="257" spans="14:68" x14ac:dyDescent="0.25">
      <c r="N257" s="11">
        <v>39</v>
      </c>
      <c r="O257" s="51">
        <f t="shared" si="264"/>
        <v>2454.7089156850338</v>
      </c>
      <c r="P257" s="49" t="str">
        <f t="shared" si="214"/>
        <v>37.1583961085025</v>
      </c>
      <c r="Q257" s="18" t="str">
        <f t="shared" si="215"/>
        <v>1+12.0890068277317i</v>
      </c>
      <c r="R257" s="18">
        <f t="shared" si="227"/>
        <v>12.130296207469282</v>
      </c>
      <c r="S257" s="18">
        <f t="shared" si="228"/>
        <v>1.4882644464878385</v>
      </c>
      <c r="T257" s="18" t="str">
        <f t="shared" si="216"/>
        <v>1+0.0138810518931914i</v>
      </c>
      <c r="U257" s="18">
        <f t="shared" si="229"/>
        <v>1.0000963371604066</v>
      </c>
      <c r="V257" s="18">
        <f t="shared" si="230"/>
        <v>1.388016044589162E-2</v>
      </c>
      <c r="W257" s="32" t="str">
        <f t="shared" si="217"/>
        <v>1-0.121499369146134i</v>
      </c>
      <c r="X257" s="18">
        <f t="shared" si="231"/>
        <v>1.0073540076372896</v>
      </c>
      <c r="Y257" s="18">
        <f t="shared" si="232"/>
        <v>-0.12090674754694102</v>
      </c>
      <c r="Z257" s="32" t="str">
        <f t="shared" si="218"/>
        <v>0.999849360103481+0.0292530315823182i</v>
      </c>
      <c r="AA257" s="18">
        <f t="shared" si="233"/>
        <v>1.0002772029573086</v>
      </c>
      <c r="AB257" s="18">
        <f t="shared" si="234"/>
        <v>2.9249095104388084E-2</v>
      </c>
      <c r="AC257" s="32" t="str">
        <f>IMDIV(IMSUM(COMPLEX(0,2*PI()*O257*Constants!$B$61*Constants!$B$62),COMPLEX(1,0)),IMSUM(COMPLEX(0,2*PI()*O257*Constants!$B$61*Constants!$B$62),COMPLEX(2,0)))</f>
        <v>0.500475309710833+0.0154087292174096i</v>
      </c>
      <c r="AD257" s="18">
        <f t="shared" si="235"/>
        <v>0.50071245697131361</v>
      </c>
      <c r="AE257" s="18">
        <f t="shared" si="236"/>
        <v>3.0778467939948189E-2</v>
      </c>
      <c r="AF257" s="66" t="str">
        <f t="shared" si="237"/>
        <v>-0.0354741602854404-1.54441140265406i</v>
      </c>
      <c r="AG257" s="64">
        <f t="shared" si="238"/>
        <v>3.7775506876581604</v>
      </c>
      <c r="AH257" s="61">
        <f t="shared" si="239"/>
        <v>-91.315816710926597</v>
      </c>
      <c r="AI257" s="50" t="str">
        <f t="shared" si="219"/>
        <v>107.538871525172</v>
      </c>
      <c r="AJ257" s="50" t="str">
        <f t="shared" si="220"/>
        <v>1+11.4924293271553i</v>
      </c>
      <c r="AK257" s="50">
        <f t="shared" si="240"/>
        <v>11.535854187690621</v>
      </c>
      <c r="AL257" s="50">
        <f t="shared" si="241"/>
        <v>1.4840011354165592</v>
      </c>
      <c r="AM257" s="50" t="str">
        <f t="shared" si="221"/>
        <v>1+0.0138810518931914i</v>
      </c>
      <c r="AN257" s="50">
        <f t="shared" si="242"/>
        <v>1.0000963371604066</v>
      </c>
      <c r="AO257" s="50">
        <f t="shared" si="243"/>
        <v>1.388016044589162E-2</v>
      </c>
      <c r="AP257" s="50" t="str">
        <f t="shared" si="222"/>
        <v>1-0.0399104301445594i</v>
      </c>
      <c r="AQ257" s="50">
        <f t="shared" si="244"/>
        <v>1.0007961043261129</v>
      </c>
      <c r="AR257" s="50">
        <f t="shared" si="245"/>
        <v>-3.9889260031036947E-2</v>
      </c>
      <c r="AS257" s="59" t="str">
        <f t="shared" si="246"/>
        <v>0.566813126168248-9.31322975784652i</v>
      </c>
      <c r="AT257" s="50">
        <f t="shared" si="247"/>
        <v>19.398063194362663</v>
      </c>
      <c r="AU257" s="61">
        <f t="shared" si="248"/>
        <v>-86.517213487155288</v>
      </c>
      <c r="AV257" s="32" t="str">
        <f t="shared" si="223"/>
        <v>-0.0000333333333333333</v>
      </c>
      <c r="AW257" s="32" t="str">
        <f t="shared" si="224"/>
        <v>0.000740322767636877i</v>
      </c>
      <c r="AX257" s="32">
        <f t="shared" si="249"/>
        <v>7.4032276763687699E-4</v>
      </c>
      <c r="AY257" s="32">
        <f t="shared" si="250"/>
        <v>1.5707963267948966</v>
      </c>
      <c r="AZ257" s="32" t="str">
        <f t="shared" si="225"/>
        <v>1+0.302041406935184i</v>
      </c>
      <c r="BA257" s="32">
        <f t="shared" si="251"/>
        <v>1.0446190748322497</v>
      </c>
      <c r="BB257" s="32">
        <f t="shared" si="252"/>
        <v>0.29332859101139896</v>
      </c>
      <c r="BC257" s="32" t="str">
        <f t="shared" si="226"/>
        <v>1+14.4979875328888i</v>
      </c>
      <c r="BD257" s="32">
        <f t="shared" si="253"/>
        <v>14.532434156183166</v>
      </c>
      <c r="BE257" s="32">
        <f t="shared" si="254"/>
        <v>1.5019303097062102</v>
      </c>
      <c r="BF257" s="59" t="str">
        <f t="shared" si="255"/>
        <v>-0.585741612441316+0.221943626924116i</v>
      </c>
      <c r="BG257" s="50">
        <f t="shared" si="256"/>
        <v>-4.0632389671399425</v>
      </c>
      <c r="BH257" s="61">
        <f t="shared" si="257"/>
        <v>159.24777759347018</v>
      </c>
      <c r="BI257" s="59" t="str">
        <f t="shared" si="258"/>
        <v>0.363550960013599+0.896752761467505i</v>
      </c>
      <c r="BJ257" s="64">
        <f t="shared" si="259"/>
        <v>-0.2856882794817871</v>
      </c>
      <c r="BK257" s="61">
        <f t="shared" si="260"/>
        <v>67.931960882543564</v>
      </c>
      <c r="BL257" s="59" t="str">
        <f t="shared" si="265"/>
        <v>1.73500595635937+5.58094677640744i</v>
      </c>
      <c r="BM257" s="64">
        <f t="shared" si="261"/>
        <v>15.334824227222711</v>
      </c>
      <c r="BN257" s="61">
        <f t="shared" si="266"/>
        <v>72.730564106314887</v>
      </c>
      <c r="BO257" s="50">
        <f t="shared" si="262"/>
        <v>-0.2856882794817871</v>
      </c>
      <c r="BP257" s="61">
        <f t="shared" si="263"/>
        <v>67.931960882543564</v>
      </c>
    </row>
    <row r="258" spans="14:68" x14ac:dyDescent="0.25">
      <c r="N258" s="11">
        <v>40</v>
      </c>
      <c r="O258" s="51">
        <f t="shared" si="264"/>
        <v>2511.8864315095811</v>
      </c>
      <c r="P258" s="49" t="str">
        <f t="shared" si="214"/>
        <v>37.1583961085025</v>
      </c>
      <c r="Q258" s="18" t="str">
        <f t="shared" si="215"/>
        <v>1+12.3705959704521i</v>
      </c>
      <c r="R258" s="18">
        <f t="shared" si="227"/>
        <v>12.410948580352986</v>
      </c>
      <c r="S258" s="18">
        <f t="shared" si="228"/>
        <v>1.4901348692396468</v>
      </c>
      <c r="T258" s="18" t="str">
        <f t="shared" si="216"/>
        <v>1+0.0142043831277883i</v>
      </c>
      <c r="U258" s="18">
        <f t="shared" si="229"/>
        <v>1.0001008771619195</v>
      </c>
      <c r="V258" s="18">
        <f t="shared" si="230"/>
        <v>1.4203427930000579E-2</v>
      </c>
      <c r="W258" s="32" t="str">
        <f t="shared" si="217"/>
        <v>1-0.124329453013772i</v>
      </c>
      <c r="X258" s="18">
        <f t="shared" si="231"/>
        <v>1.007699267086517</v>
      </c>
      <c r="Y258" s="18">
        <f t="shared" si="232"/>
        <v>-0.12369470927137134</v>
      </c>
      <c r="Z258" s="32" t="str">
        <f t="shared" si="218"/>
        <v>0.99984226066388+0.0299344222211539i</v>
      </c>
      <c r="AA258" s="18">
        <f t="shared" si="233"/>
        <v>1.0002902657944706</v>
      </c>
      <c r="AB258" s="18">
        <f t="shared" si="234"/>
        <v>2.9930204268460471E-2</v>
      </c>
      <c r="AC258" s="32" t="str">
        <f>IMDIV(IMSUM(COMPLEX(0,2*PI()*O258*Constants!$B$61*Constants!$B$62),COMPLEX(1,0)),IMSUM(COMPLEX(0,2*PI()*O258*Constants!$B$61*Constants!$B$62),COMPLEX(2,0)))</f>
        <v>0.5004976880703+0.0157669382485899i</v>
      </c>
      <c r="AD258" s="18">
        <f t="shared" si="235"/>
        <v>0.50074597562581591</v>
      </c>
      <c r="AE258" s="18">
        <f t="shared" si="236"/>
        <v>3.1492104716261349E-2</v>
      </c>
      <c r="AF258" s="66" t="str">
        <f t="shared" si="237"/>
        <v>-0.0411828505179654-1.5099295415279i</v>
      </c>
      <c r="AG258" s="64">
        <f t="shared" si="238"/>
        <v>3.5823631939155538</v>
      </c>
      <c r="AH258" s="61">
        <f t="shared" si="239"/>
        <v>-91.56233692337203</v>
      </c>
      <c r="AI258" s="50" t="str">
        <f t="shared" si="219"/>
        <v>107.538871525172</v>
      </c>
      <c r="AJ258" s="50" t="str">
        <f t="shared" si="220"/>
        <v>1+11.7601223947598i</v>
      </c>
      <c r="AK258" s="50">
        <f t="shared" si="240"/>
        <v>11.802562380251628</v>
      </c>
      <c r="AL258" s="50">
        <f t="shared" si="241"/>
        <v>1.485967261396252</v>
      </c>
      <c r="AM258" s="50" t="str">
        <f t="shared" si="221"/>
        <v>1+0.0142043831277883i</v>
      </c>
      <c r="AN258" s="50">
        <f t="shared" si="242"/>
        <v>1.0001008771619195</v>
      </c>
      <c r="AO258" s="50">
        <f t="shared" si="243"/>
        <v>1.4203427930000579E-2</v>
      </c>
      <c r="AP258" s="50" t="str">
        <f t="shared" si="222"/>
        <v>1-0.0408400634858384i</v>
      </c>
      <c r="AQ258" s="50">
        <f t="shared" si="244"/>
        <v>1.0008336079416635</v>
      </c>
      <c r="AR258" s="50">
        <f t="shared" si="245"/>
        <v>-4.0817380320822494E-2</v>
      </c>
      <c r="AS258" s="59" t="str">
        <f t="shared" si="246"/>
        <v>0.530622024457967-9.10455096099082i</v>
      </c>
      <c r="AT258" s="50">
        <f t="shared" si="247"/>
        <v>19.199897180847696</v>
      </c>
      <c r="AU258" s="61">
        <f t="shared" si="248"/>
        <v>-86.664519720774621</v>
      </c>
      <c r="AV258" s="32" t="str">
        <f t="shared" si="223"/>
        <v>-0.0000333333333333333</v>
      </c>
      <c r="AW258" s="32" t="str">
        <f t="shared" si="224"/>
        <v>0.000757567100148709i</v>
      </c>
      <c r="AX258" s="32">
        <f t="shared" si="249"/>
        <v>7.5756710014870899E-4</v>
      </c>
      <c r="AY258" s="32">
        <f t="shared" si="250"/>
        <v>1.5707963267948966</v>
      </c>
      <c r="AZ258" s="32" t="str">
        <f t="shared" si="225"/>
        <v>1+0.309076855095394i</v>
      </c>
      <c r="BA258" s="32">
        <f t="shared" si="251"/>
        <v>1.046674974553065</v>
      </c>
      <c r="BB258" s="32">
        <f t="shared" si="252"/>
        <v>0.29976324164343077</v>
      </c>
      <c r="BC258" s="32" t="str">
        <f t="shared" si="226"/>
        <v>1+14.8356890445789i</v>
      </c>
      <c r="BD258" s="32">
        <f t="shared" si="253"/>
        <v>14.869353362787448</v>
      </c>
      <c r="BE258" s="32">
        <f t="shared" si="254"/>
        <v>1.5034931073047859</v>
      </c>
      <c r="BF258" s="59" t="str">
        <f t="shared" si="255"/>
        <v>-0.583442821767163+0.224329175308886i</v>
      </c>
      <c r="BG258" s="50">
        <f t="shared" si="256"/>
        <v>-4.0812423724624836</v>
      </c>
      <c r="BH258" s="61">
        <f t="shared" si="257"/>
        <v>158.96864097624524</v>
      </c>
      <c r="BI258" s="59" t="str">
        <f t="shared" si="258"/>
        <v>0.362749087340095+0.871719037485072i</v>
      </c>
      <c r="BJ258" s="64">
        <f t="shared" si="259"/>
        <v>-0.49887917854693292</v>
      </c>
      <c r="BK258" s="61">
        <f t="shared" si="260"/>
        <v>67.40630405287321</v>
      </c>
      <c r="BL258" s="59" t="str">
        <f t="shared" si="265"/>
        <v>1.73282879739524+5.43101890475081i</v>
      </c>
      <c r="BM258" s="64">
        <f t="shared" si="261"/>
        <v>15.118654808385219</v>
      </c>
      <c r="BN258" s="61">
        <f t="shared" si="266"/>
        <v>72.304121255470577</v>
      </c>
      <c r="BO258" s="50">
        <f t="shared" si="262"/>
        <v>-0.49887917854693292</v>
      </c>
      <c r="BP258" s="61">
        <f t="shared" si="263"/>
        <v>67.40630405287321</v>
      </c>
    </row>
    <row r="259" spans="14:68" x14ac:dyDescent="0.25">
      <c r="N259" s="11">
        <v>41</v>
      </c>
      <c r="O259" s="51">
        <f t="shared" si="264"/>
        <v>2570.3957827688669</v>
      </c>
      <c r="P259" s="49" t="str">
        <f t="shared" si="214"/>
        <v>37.1583961085025</v>
      </c>
      <c r="Q259" s="18" t="str">
        <f t="shared" si="215"/>
        <v>1+12.6587441669001i</v>
      </c>
      <c r="R259" s="18">
        <f t="shared" si="227"/>
        <v>12.698181124989015</v>
      </c>
      <c r="S259" s="18">
        <f t="shared" si="228"/>
        <v>1.491963262677007</v>
      </c>
      <c r="T259" s="18" t="str">
        <f t="shared" si="216"/>
        <v>1+0.0145352457143367i</v>
      </c>
      <c r="U259" s="18">
        <f t="shared" si="229"/>
        <v>1.0001056311050229</v>
      </c>
      <c r="V259" s="18">
        <f t="shared" si="230"/>
        <v>1.453422220730529E-2</v>
      </c>
      <c r="W259" s="32" t="str">
        <f t="shared" si="217"/>
        <v>1-0.127225458003092i</v>
      </c>
      <c r="X259" s="18">
        <f t="shared" si="231"/>
        <v>1.008060671370576</v>
      </c>
      <c r="Y259" s="18">
        <f t="shared" si="232"/>
        <v>-0.12654561121391025</v>
      </c>
      <c r="Z259" s="32" t="str">
        <f t="shared" si="218"/>
        <v>0.999834826637998+0.03063168448688i</v>
      </c>
      <c r="AA259" s="18">
        <f t="shared" si="233"/>
        <v>1.0003039441353512</v>
      </c>
      <c r="AB259" s="18">
        <f t="shared" si="234"/>
        <v>3.0627164935789732E-2</v>
      </c>
      <c r="AC259" s="32" t="str">
        <f>IMDIV(IMSUM(COMPLEX(0,2*PI()*O259*Constants!$B$61*Constants!$B$62),COMPLEX(1,0)),IMSUM(COMPLEX(0,2*PI()*O259*Constants!$B$61*Constants!$B$62),COMPLEX(2,0)))</f>
        <v>0.500521118940417+0.0161334405896067i</v>
      </c>
      <c r="AD259" s="18">
        <f t="shared" si="235"/>
        <v>0.50078106834286917</v>
      </c>
      <c r="AE259" s="18">
        <f t="shared" si="236"/>
        <v>3.2222130083290786E-2</v>
      </c>
      <c r="AF259" s="66" t="str">
        <f t="shared" si="237"/>
        <v>-0.0466390859340415-1.47620701707266i</v>
      </c>
      <c r="AG259" s="64">
        <f t="shared" si="238"/>
        <v>3.3872781531175007</v>
      </c>
      <c r="AH259" s="61">
        <f t="shared" si="239"/>
        <v>-91.80959321601496</v>
      </c>
      <c r="AI259" s="50" t="str">
        <f t="shared" si="219"/>
        <v>107.538871525172</v>
      </c>
      <c r="AJ259" s="50" t="str">
        <f t="shared" si="220"/>
        <v>1+12.0340508349217i</v>
      </c>
      <c r="AK259" s="50">
        <f t="shared" si="240"/>
        <v>12.075528124992285</v>
      </c>
      <c r="AL259" s="50">
        <f t="shared" si="241"/>
        <v>1.4878892683456679</v>
      </c>
      <c r="AM259" s="50" t="str">
        <f t="shared" si="221"/>
        <v>1+0.0145352457143367i</v>
      </c>
      <c r="AN259" s="50">
        <f t="shared" si="242"/>
        <v>1.0001056311050229</v>
      </c>
      <c r="AO259" s="50">
        <f t="shared" si="243"/>
        <v>1.453422220730529E-2</v>
      </c>
      <c r="AP259" s="50" t="str">
        <f t="shared" si="222"/>
        <v>1-0.0417913507693594i</v>
      </c>
      <c r="AQ259" s="50">
        <f t="shared" si="244"/>
        <v>1.0008728775419622</v>
      </c>
      <c r="AR259" s="50">
        <f t="shared" si="245"/>
        <v>-4.1767046464830537E-2</v>
      </c>
      <c r="AS259" s="59" t="str">
        <f t="shared" si="246"/>
        <v>0.496036923143464-8.90042432889527i</v>
      </c>
      <c r="AT259" s="50">
        <f t="shared" si="247"/>
        <v>19.001682683847683</v>
      </c>
      <c r="AU259" s="61">
        <f t="shared" si="248"/>
        <v>-86.810101353192451</v>
      </c>
      <c r="AV259" s="32" t="str">
        <f t="shared" si="223"/>
        <v>-0.0000333333333333333</v>
      </c>
      <c r="AW259" s="32" t="str">
        <f t="shared" si="224"/>
        <v>0.000775213104764626i</v>
      </c>
      <c r="AX259" s="32">
        <f t="shared" si="249"/>
        <v>7.7521310476462598E-4</v>
      </c>
      <c r="AY259" s="32">
        <f t="shared" si="250"/>
        <v>1.5707963267948966</v>
      </c>
      <c r="AZ259" s="32" t="str">
        <f t="shared" si="225"/>
        <v>1+0.31627617989529i</v>
      </c>
      <c r="BA259" s="32">
        <f t="shared" si="251"/>
        <v>1.0488234465195549</v>
      </c>
      <c r="BB259" s="32">
        <f t="shared" si="252"/>
        <v>0.30632138117385604</v>
      </c>
      <c r="BC259" s="32" t="str">
        <f t="shared" si="226"/>
        <v>1+15.181256634974i</v>
      </c>
      <c r="BD259" s="32">
        <f t="shared" si="253"/>
        <v>15.21415633602278</v>
      </c>
      <c r="BE259" s="32">
        <f t="shared" si="254"/>
        <v>1.5050206495037048</v>
      </c>
      <c r="BF259" s="59" t="str">
        <f t="shared" si="255"/>
        <v>-0.581054952449009+0.226772769775189i</v>
      </c>
      <c r="BG259" s="50">
        <f t="shared" si="256"/>
        <v>-4.0999374661454402</v>
      </c>
      <c r="BH259" s="61">
        <f t="shared" si="257"/>
        <v>158.6804089807201</v>
      </c>
      <c r="BI259" s="59" t="str">
        <f t="shared" si="258"/>
        <v>0.361863425882807+0.847180923413002i</v>
      </c>
      <c r="BJ259" s="64">
        <f t="shared" si="259"/>
        <v>-0.71265931302794028</v>
      </c>
      <c r="BK259" s="61">
        <f t="shared" si="260"/>
        <v>66.8708157647051</v>
      </c>
      <c r="BL259" s="59" t="str">
        <f t="shared" si="265"/>
        <v>1.73014916644798+5.28412330217425i</v>
      </c>
      <c r="BM259" s="64">
        <f t="shared" si="261"/>
        <v>14.901745217702249</v>
      </c>
      <c r="BN259" s="61">
        <f t="shared" si="266"/>
        <v>71.870307627527666</v>
      </c>
      <c r="BO259" s="50">
        <f t="shared" si="262"/>
        <v>-0.71265931302794028</v>
      </c>
      <c r="BP259" s="61">
        <f t="shared" si="263"/>
        <v>66.8708157647051</v>
      </c>
    </row>
    <row r="260" spans="14:68" x14ac:dyDescent="0.25">
      <c r="N260" s="11">
        <v>42</v>
      </c>
      <c r="O260" s="51">
        <f t="shared" si="264"/>
        <v>2630.2679918953822</v>
      </c>
      <c r="P260" s="49" t="str">
        <f t="shared" si="214"/>
        <v>37.1583961085025</v>
      </c>
      <c r="Q260" s="18" t="str">
        <f t="shared" si="215"/>
        <v>1+12.9536041970637i</v>
      </c>
      <c r="R260" s="18">
        <f t="shared" si="227"/>
        <v>12.992146154280528</v>
      </c>
      <c r="S260" s="18">
        <f t="shared" si="228"/>
        <v>1.4937505473121633</v>
      </c>
      <c r="T260" s="18" t="str">
        <f t="shared" si="216"/>
        <v>1+0.0148738150805596i</v>
      </c>
      <c r="U260" s="18">
        <f t="shared" si="229"/>
        <v>1.000110609070342</v>
      </c>
      <c r="V260" s="18">
        <f t="shared" si="230"/>
        <v>1.4872718379567161E-2</v>
      </c>
      <c r="W260" s="32" t="str">
        <f t="shared" si="217"/>
        <v>1-0.130188919614273i</v>
      </c>
      <c r="X260" s="18">
        <f t="shared" si="231"/>
        <v>1.008438969293795</v>
      </c>
      <c r="Y260" s="18">
        <f t="shared" si="232"/>
        <v>-0.12946077949266893</v>
      </c>
      <c r="Z260" s="32" t="str">
        <f t="shared" si="218"/>
        <v>0.99982704225727+0.0313451880771793i</v>
      </c>
      <c r="AA260" s="18">
        <f t="shared" si="233"/>
        <v>1.0003182669753234</v>
      </c>
      <c r="AB260" s="18">
        <f t="shared" si="234"/>
        <v>3.134034536571409E-2</v>
      </c>
      <c r="AC260" s="32" t="str">
        <f>IMDIV(IMSUM(COMPLEX(0,2*PI()*O260*Constants!$B$61*Constants!$B$62),COMPLEX(1,0)),IMSUM(COMPLEX(0,2*PI()*O260*Constants!$B$61*Constants!$B$62),COMPLEX(2,0)))</f>
        <v>0.500545651717488+0.0165084258167456i</v>
      </c>
      <c r="AD260" s="18">
        <f t="shared" si="235"/>
        <v>0.50081780876505555</v>
      </c>
      <c r="AE260" s="18">
        <f t="shared" si="236"/>
        <v>3.2968909138476735E-2</v>
      </c>
      <c r="AF260" s="66" t="str">
        <f t="shared" si="237"/>
        <v>-0.0518540025475951-1.4432286614247i</v>
      </c>
      <c r="AG260" s="64">
        <f t="shared" si="238"/>
        <v>3.1923056144656337</v>
      </c>
      <c r="AH260" s="61">
        <f t="shared" si="239"/>
        <v>-92.057704459864382</v>
      </c>
      <c r="AI260" s="50" t="str">
        <f t="shared" si="219"/>
        <v>107.538871525172</v>
      </c>
      <c r="AJ260" s="50" t="str">
        <f t="shared" si="220"/>
        <v>1+12.3143598881257i</v>
      </c>
      <c r="AK260" s="50">
        <f t="shared" si="240"/>
        <v>12.35489617335084</v>
      </c>
      <c r="AL260" s="50">
        <f t="shared" si="241"/>
        <v>1.4897681185058973</v>
      </c>
      <c r="AM260" s="50" t="str">
        <f t="shared" si="221"/>
        <v>1+0.0148738150805596i</v>
      </c>
      <c r="AN260" s="50">
        <f t="shared" si="242"/>
        <v>1.000110609070342</v>
      </c>
      <c r="AO260" s="50">
        <f t="shared" si="243"/>
        <v>1.4872718379567161E-2</v>
      </c>
      <c r="AP260" s="50" t="str">
        <f t="shared" si="222"/>
        <v>1-0.0427647963802323i</v>
      </c>
      <c r="AQ260" s="50">
        <f t="shared" si="244"/>
        <v>1.0009139962101852</v>
      </c>
      <c r="AR260" s="50">
        <f t="shared" si="245"/>
        <v>-4.2738755132944679E-2</v>
      </c>
      <c r="AS260" s="59" t="str">
        <f t="shared" si="246"/>
        <v>0.462987532150349-8.70075974931105i</v>
      </c>
      <c r="AT260" s="50">
        <f t="shared" si="247"/>
        <v>18.803423424478595</v>
      </c>
      <c r="AU260" s="61">
        <f t="shared" si="248"/>
        <v>-86.954031941258364</v>
      </c>
      <c r="AV260" s="32" t="str">
        <f t="shared" si="223"/>
        <v>-0.0000333333333333333</v>
      </c>
      <c r="AW260" s="32" t="str">
        <f t="shared" si="224"/>
        <v>0.000793270137629847i</v>
      </c>
      <c r="AX260" s="32">
        <f t="shared" si="249"/>
        <v>7.9327013762984697E-4</v>
      </c>
      <c r="AY260" s="32">
        <f t="shared" si="250"/>
        <v>1.5707963267948966</v>
      </c>
      <c r="AZ260" s="32" t="str">
        <f t="shared" si="225"/>
        <v>1+0.323643198512177i</v>
      </c>
      <c r="BA260" s="32">
        <f t="shared" si="251"/>
        <v>1.0510684658685143</v>
      </c>
      <c r="BB260" s="32">
        <f t="shared" si="252"/>
        <v>0.31300422952192597</v>
      </c>
      <c r="BC260" s="32" t="str">
        <f t="shared" si="226"/>
        <v>1+15.5348735285845i</v>
      </c>
      <c r="BD260" s="32">
        <f t="shared" si="253"/>
        <v>15.567025905712224</v>
      </c>
      <c r="BE260" s="32">
        <f t="shared" si="254"/>
        <v>1.5065137176952563</v>
      </c>
      <c r="BF260" s="59" t="str">
        <f t="shared" si="255"/>
        <v>-0.578575406143173+0.229272149007673i</v>
      </c>
      <c r="BG260" s="50">
        <f t="shared" si="256"/>
        <v>-4.119354378026677</v>
      </c>
      <c r="BH260" s="61">
        <f t="shared" si="257"/>
        <v>158.38305648115087</v>
      </c>
      <c r="BI260" s="59" t="str">
        <f t="shared" si="258"/>
        <v>0.360893587298432+0.823127930342527i</v>
      </c>
      <c r="BJ260" s="64">
        <f t="shared" si="259"/>
        <v>-0.92704876356104904</v>
      </c>
      <c r="BK260" s="61">
        <f t="shared" si="260"/>
        <v>66.325352021286477</v>
      </c>
      <c r="BL260" s="59" t="str">
        <f t="shared" si="265"/>
        <v>1.72696868627089+5.14019575217168i</v>
      </c>
      <c r="BM260" s="64">
        <f t="shared" si="261"/>
        <v>14.68406904645191</v>
      </c>
      <c r="BN260" s="61">
        <f t="shared" si="266"/>
        <v>71.429024539892524</v>
      </c>
      <c r="BO260" s="50">
        <f t="shared" si="262"/>
        <v>-0.92704876356104904</v>
      </c>
      <c r="BP260" s="61">
        <f t="shared" si="263"/>
        <v>66.325352021286477</v>
      </c>
    </row>
    <row r="261" spans="14:68" x14ac:dyDescent="0.25">
      <c r="N261" s="11">
        <v>43</v>
      </c>
      <c r="O261" s="51">
        <f t="shared" si="264"/>
        <v>2691.5348039269184</v>
      </c>
      <c r="P261" s="49" t="str">
        <f t="shared" si="214"/>
        <v>37.1583961085025</v>
      </c>
      <c r="Q261" s="18" t="str">
        <f t="shared" si="215"/>
        <v>1+13.2553323996339i</v>
      </c>
      <c r="R261" s="18">
        <f t="shared" si="227"/>
        <v>13.292999549566838</v>
      </c>
      <c r="S261" s="18">
        <f t="shared" si="228"/>
        <v>1.4954976250873564</v>
      </c>
      <c r="T261" s="18" t="str">
        <f t="shared" si="216"/>
        <v>1+0.0152202707404165i</v>
      </c>
      <c r="U261" s="18">
        <f t="shared" si="229"/>
        <v>1.0001158216133827</v>
      </c>
      <c r="V261" s="18">
        <f t="shared" si="230"/>
        <v>1.5219095611480996E-2</v>
      </c>
      <c r="W261" s="32" t="str">
        <f t="shared" si="217"/>
        <v>1-0.133221409113888i</v>
      </c>
      <c r="X261" s="18">
        <f t="shared" si="231"/>
        <v>1.0088349438071076</v>
      </c>
      <c r="Y261" s="18">
        <f t="shared" si="232"/>
        <v>-0.13244156147341796</v>
      </c>
      <c r="Z261" s="32" t="str">
        <f t="shared" si="218"/>
        <v>0.999818891009981+0.0320753113010999i</v>
      </c>
      <c r="AA261" s="18">
        <f t="shared" si="233"/>
        <v>1.0003332646750733</v>
      </c>
      <c r="AB261" s="18">
        <f t="shared" si="234"/>
        <v>3.207012232617544E-2</v>
      </c>
      <c r="AC261" s="32" t="str">
        <f>IMDIV(IMSUM(COMPLEX(0,2*PI()*O261*Constants!$B$61*Constants!$B$62),COMPLEX(1,0)),IMSUM(COMPLEX(0,2*PI()*O261*Constants!$B$61*Constants!$B$62),COMPLEX(2,0)))</f>
        <v>0.500571338105872+0.0168920876656723i</v>
      </c>
      <c r="AD261" s="18">
        <f t="shared" si="235"/>
        <v>0.50085627395372412</v>
      </c>
      <c r="AE261" s="18">
        <f t="shared" si="236"/>
        <v>3.3732814305880529E-2</v>
      </c>
      <c r="AF261" s="66" t="str">
        <f t="shared" si="237"/>
        <v>-0.0568382624822677-1.41097952338489i</v>
      </c>
      <c r="AG261" s="64">
        <f t="shared" si="238"/>
        <v>2.9974558395627717</v>
      </c>
      <c r="AH261" s="61">
        <f t="shared" si="239"/>
        <v>-92.306789514281419</v>
      </c>
      <c r="AI261" s="50" t="str">
        <f t="shared" si="219"/>
        <v>107.538871525172</v>
      </c>
      <c r="AJ261" s="50" t="str">
        <f t="shared" si="220"/>
        <v>1+12.6011981779423i</v>
      </c>
      <c r="AK261" s="50">
        <f t="shared" si="240"/>
        <v>12.640814669940239</v>
      </c>
      <c r="AL261" s="50">
        <f t="shared" si="241"/>
        <v>1.4916047549787204</v>
      </c>
      <c r="AM261" s="50" t="str">
        <f t="shared" si="221"/>
        <v>1+0.0152202707404165i</v>
      </c>
      <c r="AN261" s="50">
        <f t="shared" si="242"/>
        <v>1.0001158216133827</v>
      </c>
      <c r="AO261" s="50">
        <f t="shared" si="243"/>
        <v>1.5219095611480996E-2</v>
      </c>
      <c r="AP261" s="50" t="str">
        <f t="shared" si="222"/>
        <v>1-0.0437609164522052i</v>
      </c>
      <c r="AQ261" s="50">
        <f t="shared" si="244"/>
        <v>1.0009570509311261</v>
      </c>
      <c r="AR261" s="50">
        <f t="shared" si="245"/>
        <v>-4.3733014193744341E-2</v>
      </c>
      <c r="AS261" s="59" t="str">
        <f t="shared" si="246"/>
        <v>0.431406552307104-8.50546829333015i</v>
      </c>
      <c r="AT261" s="50">
        <f t="shared" si="247"/>
        <v>18.605123033993468</v>
      </c>
      <c r="AU261" s="61">
        <f t="shared" si="248"/>
        <v>-87.096384354069286</v>
      </c>
      <c r="AV261" s="32" t="str">
        <f t="shared" si="223"/>
        <v>-0.0000333333333333333</v>
      </c>
      <c r="AW261" s="32" t="str">
        <f t="shared" si="224"/>
        <v>0.000811747772822213i</v>
      </c>
      <c r="AX261" s="32">
        <f t="shared" si="249"/>
        <v>8.1174777282221305E-4</v>
      </c>
      <c r="AY261" s="32">
        <f t="shared" si="250"/>
        <v>1.5707963267948966</v>
      </c>
      <c r="AZ261" s="32" t="str">
        <f t="shared" si="225"/>
        <v>1+0.331181817036841i</v>
      </c>
      <c r="BA261" s="32">
        <f t="shared" si="251"/>
        <v>1.0534141616362596</v>
      </c>
      <c r="BB261" s="32">
        <f t="shared" si="252"/>
        <v>0.31981294151134954</v>
      </c>
      <c r="BC261" s="32" t="str">
        <f t="shared" si="226"/>
        <v>1+15.8967272177684i</v>
      </c>
      <c r="BD261" s="32">
        <f t="shared" si="253"/>
        <v>15.928149177984825</v>
      </c>
      <c r="BE261" s="32">
        <f t="shared" si="254"/>
        <v>1.5079730768815502</v>
      </c>
      <c r="BF261" s="59" t="str">
        <f t="shared" si="255"/>
        <v>-0.576001583050516+0.231824909393263i</v>
      </c>
      <c r="BG261" s="50">
        <f t="shared" si="256"/>
        <v>-4.1395239695072599</v>
      </c>
      <c r="BH261" s="61">
        <f t="shared" si="257"/>
        <v>158.07656114240507</v>
      </c>
      <c r="BI261" s="59" t="str">
        <f t="shared" si="258"/>
        <v>0.359839129332079+0.799549914071537i</v>
      </c>
      <c r="BJ261" s="64">
        <f t="shared" si="259"/>
        <v>-1.142068129944487</v>
      </c>
      <c r="BK261" s="61">
        <f t="shared" si="260"/>
        <v>65.769771628123607</v>
      </c>
      <c r="BL261" s="59" t="str">
        <f t="shared" si="265"/>
        <v>1.72328855938128+4.99917398644439i</v>
      </c>
      <c r="BM261" s="64">
        <f t="shared" si="261"/>
        <v>14.465599064486208</v>
      </c>
      <c r="BN261" s="61">
        <f t="shared" si="266"/>
        <v>70.98017678833574</v>
      </c>
      <c r="BO261" s="50">
        <f t="shared" si="262"/>
        <v>-1.142068129944487</v>
      </c>
      <c r="BP261" s="61">
        <f t="shared" si="263"/>
        <v>65.769771628123607</v>
      </c>
    </row>
    <row r="262" spans="14:68" x14ac:dyDescent="0.25">
      <c r="N262" s="11">
        <v>44</v>
      </c>
      <c r="O262" s="51">
        <f t="shared" si="264"/>
        <v>2754.228703338169</v>
      </c>
      <c r="P262" s="49" t="str">
        <f t="shared" si="214"/>
        <v>37.1583961085025</v>
      </c>
      <c r="Q262" s="18" t="str">
        <f t="shared" si="215"/>
        <v>1+13.5640887548974i</v>
      </c>
      <c r="R262" s="18">
        <f t="shared" si="227"/>
        <v>13.600900843353505</v>
      </c>
      <c r="S262" s="18">
        <f t="shared" si="228"/>
        <v>1.4972053796419149</v>
      </c>
      <c r="T262" s="18" t="str">
        <f t="shared" si="216"/>
        <v>1+0.015574796389284i</v>
      </c>
      <c r="U262" s="18">
        <f t="shared" si="229"/>
        <v>1.0001212797868904</v>
      </c>
      <c r="V262" s="18">
        <f t="shared" si="230"/>
        <v>1.5573537224190139E-2</v>
      </c>
      <c r="W262" s="32" t="str">
        <f t="shared" si="217"/>
        <v>1-0.136324534368009i</v>
      </c>
      <c r="X262" s="18">
        <f t="shared" si="231"/>
        <v>1.0092494135101862</v>
      </c>
      <c r="Y262" s="18">
        <f t="shared" si="232"/>
        <v>-0.13548932561847352</v>
      </c>
      <c r="Z262" s="32" t="str">
        <f t="shared" si="218"/>
        <v>0.999810355606243+0.0328224412796393i</v>
      </c>
      <c r="AA262" s="18">
        <f t="shared" si="233"/>
        <v>1.0003489690248286</v>
      </c>
      <c r="AB262" s="18">
        <f t="shared" si="234"/>
        <v>3.281688128696713E-2</v>
      </c>
      <c r="AC262" s="32" t="str">
        <f>IMDIV(IMSUM(COMPLEX(0,2*PI()*O262*Constants!$B$61*Constants!$B$62),COMPLEX(1,0)),IMSUM(COMPLEX(0,2*PI()*O262*Constants!$B$61*Constants!$B$62),COMPLEX(2,0)))</f>
        <v>0.500598232224845+0.0172846241101034i</v>
      </c>
      <c r="AD262" s="18">
        <f t="shared" si="235"/>
        <v>0.50089654454514598</v>
      </c>
      <c r="AE262" s="18">
        <f t="shared" si="236"/>
        <v>3.4514225424151244E-2</v>
      </c>
      <c r="AF262" s="66" t="str">
        <f t="shared" si="237"/>
        <v>-0.0616020732989352-1.37944487193942i</v>
      </c>
      <c r="AG262" s="64">
        <f t="shared" si="238"/>
        <v>2.8027393209277967</v>
      </c>
      <c r="AH262" s="61">
        <f t="shared" si="239"/>
        <v>-92.556967234298256</v>
      </c>
      <c r="AI262" s="50" t="str">
        <f t="shared" si="219"/>
        <v>107.538871525172</v>
      </c>
      <c r="AJ262" s="50" t="str">
        <f t="shared" si="220"/>
        <v>1+12.8947177898294i</v>
      </c>
      <c r="AK262" s="50">
        <f t="shared" si="240"/>
        <v>12.933435231188302</v>
      </c>
      <c r="AL262" s="50">
        <f t="shared" si="241"/>
        <v>1.4934001019822374</v>
      </c>
      <c r="AM262" s="50" t="str">
        <f t="shared" si="221"/>
        <v>1+0.015574796389284i</v>
      </c>
      <c r="AN262" s="50">
        <f t="shared" si="242"/>
        <v>1.0001212797868904</v>
      </c>
      <c r="AO262" s="50">
        <f t="shared" si="243"/>
        <v>1.5573537224190139E-2</v>
      </c>
      <c r="AP262" s="50" t="str">
        <f t="shared" si="222"/>
        <v>1-0.0447802391413252i</v>
      </c>
      <c r="AQ262" s="50">
        <f t="shared" si="244"/>
        <v>1.0010021327737291</v>
      </c>
      <c r="AR262" s="50">
        <f t="shared" si="245"/>
        <v>-4.475034294905849E-2</v>
      </c>
      <c r="AS262" s="59" t="str">
        <f t="shared" si="246"/>
        <v>0.401229555595089-8.31446224428486i</v>
      </c>
      <c r="AT262" s="50">
        <f t="shared" si="247"/>
        <v>18.406785060977107</v>
      </c>
      <c r="AU262" s="61">
        <f t="shared" si="248"/>
        <v>-87.237230795697016</v>
      </c>
      <c r="AV262" s="32" t="str">
        <f t="shared" si="223"/>
        <v>-0.0000333333333333333</v>
      </c>
      <c r="AW262" s="32" t="str">
        <f t="shared" si="224"/>
        <v>0.00083065580742848i</v>
      </c>
      <c r="AX262" s="32">
        <f t="shared" si="249"/>
        <v>8.3065580742848E-4</v>
      </c>
      <c r="AY262" s="32">
        <f t="shared" si="250"/>
        <v>1.5707963267948966</v>
      </c>
      <c r="AZ262" s="32" t="str">
        <f t="shared" si="225"/>
        <v>1+0.338896032544606i</v>
      </c>
      <c r="BA262" s="32">
        <f t="shared" si="251"/>
        <v>1.0558648213073842</v>
      </c>
      <c r="BB262" s="32">
        <f t="shared" si="252"/>
        <v>0.32674860120974314</v>
      </c>
      <c r="BC262" s="32" t="str">
        <f t="shared" si="226"/>
        <v>1+16.2670095621411i</v>
      </c>
      <c r="BD262" s="32">
        <f t="shared" si="253"/>
        <v>16.29771763452754</v>
      </c>
      <c r="BE262" s="32">
        <f t="shared" si="254"/>
        <v>1.5093994759558036</v>
      </c>
      <c r="BF262" s="59" t="str">
        <f t="shared" si="255"/>
        <v>-0.573330889453573+0.234428499288344i</v>
      </c>
      <c r="BG262" s="50">
        <f t="shared" si="256"/>
        <v>-4.1604778364065211</v>
      </c>
      <c r="BH262" s="61">
        <f t="shared" si="257"/>
        <v>157.7609037604042</v>
      </c>
      <c r="BI262" s="59" t="str">
        <f t="shared" si="258"/>
        <v>0.358699562656423+0.776437073784678i</v>
      </c>
      <c r="BJ262" s="64">
        <f t="shared" si="259"/>
        <v>-1.35773851547872</v>
      </c>
      <c r="BK262" s="61">
        <f t="shared" si="260"/>
        <v>65.203936526105934</v>
      </c>
      <c r="BL262" s="59" t="str">
        <f t="shared" si="265"/>
        <v>1.7191096083329+4.86099767643228i</v>
      </c>
      <c r="BM262" s="64">
        <f t="shared" si="261"/>
        <v>14.246307224570597</v>
      </c>
      <c r="BN262" s="61">
        <f t="shared" si="266"/>
        <v>70.523672964707245</v>
      </c>
      <c r="BO262" s="50">
        <f t="shared" si="262"/>
        <v>-1.35773851547872</v>
      </c>
      <c r="BP262" s="61">
        <f t="shared" si="263"/>
        <v>65.203936526105934</v>
      </c>
    </row>
    <row r="263" spans="14:68" x14ac:dyDescent="0.25">
      <c r="N263" s="11">
        <v>45</v>
      </c>
      <c r="O263" s="51">
        <f t="shared" si="264"/>
        <v>2818.3829312644561</v>
      </c>
      <c r="P263" s="49" t="str">
        <f t="shared" si="214"/>
        <v>37.1583961085025</v>
      </c>
      <c r="Q263" s="18" t="str">
        <f t="shared" si="215"/>
        <v>1+13.8800369695607i</v>
      </c>
      <c r="R263" s="18">
        <f t="shared" si="227"/>
        <v>13.916013303973655</v>
      </c>
      <c r="S263" s="18">
        <f t="shared" si="228"/>
        <v>1.498874676583287</v>
      </c>
      <c r="T263" s="18" t="str">
        <f t="shared" si="216"/>
        <v>1+0.015937580001354i</v>
      </c>
      <c r="U263" s="18">
        <f t="shared" si="229"/>
        <v>1.000126995164264</v>
      </c>
      <c r="V263" s="18">
        <f t="shared" si="230"/>
        <v>1.5936230790900219E-2</v>
      </c>
      <c r="W263" s="32" t="str">
        <f t="shared" si="217"/>
        <v>1-0.139499940694721i</v>
      </c>
      <c r="X263" s="18">
        <f t="shared" si="231"/>
        <v>1.009683234214489</v>
      </c>
      <c r="Y263" s="18">
        <f t="shared" si="232"/>
        <v>-0.13860546129095244</v>
      </c>
      <c r="Z263" s="32" t="str">
        <f t="shared" si="218"/>
        <v>0.999801417941319+0.0335869741510014i</v>
      </c>
      <c r="AA263" s="18">
        <f t="shared" si="233"/>
        <v>1.000365413311602</v>
      </c>
      <c r="AB263" s="18">
        <f t="shared" si="234"/>
        <v>3.3581016617131601E-2</v>
      </c>
      <c r="AC263" s="32" t="str">
        <f>IMDIV(IMSUM(COMPLEX(0,2*PI()*O263*Constants!$B$61*Constants!$B$62),COMPLEX(1,0)),IMSUM(COMPLEX(0,2*PI()*O263*Constants!$B$61*Constants!$B$62),COMPLEX(2,0)))</f>
        <v>0.500626390720309+0.017686237441022i</v>
      </c>
      <c r="AD263" s="18">
        <f t="shared" si="235"/>
        <v>0.50093870491354897</v>
      </c>
      <c r="AE263" s="18">
        <f t="shared" si="236"/>
        <v>3.531352983081143E-2</v>
      </c>
      <c r="AF263" s="66" t="str">
        <f t="shared" si="237"/>
        <v>-0.0661552066404871-1.34861019917218i</v>
      </c>
      <c r="AG263" s="64">
        <f t="shared" si="238"/>
        <v>2.608166800770193</v>
      </c>
      <c r="AH263" s="61">
        <f t="shared" si="239"/>
        <v>-92.808356475934545</v>
      </c>
      <c r="AI263" s="50" t="str">
        <f t="shared" si="219"/>
        <v>107.538871525172</v>
      </c>
      <c r="AJ263" s="50" t="str">
        <f t="shared" si="220"/>
        <v>1+13.1950743517704i</v>
      </c>
      <c r="AK263" s="50">
        <f t="shared" si="240"/>
        <v>13.232913025813668</v>
      </c>
      <c r="AL263" s="50">
        <f t="shared" si="241"/>
        <v>1.4951550651122265</v>
      </c>
      <c r="AM263" s="50" t="str">
        <f t="shared" si="221"/>
        <v>1+0.015937580001354i</v>
      </c>
      <c r="AN263" s="50">
        <f t="shared" si="242"/>
        <v>1.000126995164264</v>
      </c>
      <c r="AO263" s="50">
        <f t="shared" si="243"/>
        <v>1.5936230790900219E-2</v>
      </c>
      <c r="AP263" s="50" t="str">
        <f t="shared" si="222"/>
        <v>1-0.0458233049059744i</v>
      </c>
      <c r="AQ263" s="50">
        <f t="shared" si="244"/>
        <v>1.001049337082097</v>
      </c>
      <c r="AR263" s="50">
        <f t="shared" si="245"/>
        <v>-4.5791272372125026E-2</v>
      </c>
      <c r="AS263" s="59" t="str">
        <f t="shared" si="246"/>
        <v>0.372394869522422-8.1276551225208i</v>
      </c>
      <c r="AT263" s="50">
        <f t="shared" si="247"/>
        <v>18.208412978403171</v>
      </c>
      <c r="AU263" s="61">
        <f t="shared" si="248"/>
        <v>-87.37664282833012</v>
      </c>
      <c r="AV263" s="32" t="str">
        <f t="shared" si="223"/>
        <v>-0.0000333333333333333</v>
      </c>
      <c r="AW263" s="32" t="str">
        <f t="shared" si="224"/>
        <v>0.000850004266738875i</v>
      </c>
      <c r="AX263" s="32">
        <f t="shared" si="249"/>
        <v>8.5000426673887504E-4</v>
      </c>
      <c r="AY263" s="32">
        <f t="shared" si="250"/>
        <v>1.5707963267948966</v>
      </c>
      <c r="AZ263" s="32" t="str">
        <f t="shared" si="225"/>
        <v>1+0.346789935214646i</v>
      </c>
      <c r="BA263" s="32">
        <f t="shared" si="251"/>
        <v>1.0584248953828412</v>
      </c>
      <c r="BB263" s="32">
        <f t="shared" si="252"/>
        <v>0.33381221607555661</v>
      </c>
      <c r="BC263" s="32" t="str">
        <f t="shared" si="226"/>
        <v>1+16.645916890303i</v>
      </c>
      <c r="BD263" s="32">
        <f t="shared" si="253"/>
        <v>16.675927234156266</v>
      </c>
      <c r="BE263" s="32">
        <f t="shared" si="254"/>
        <v>1.5107936479832089</v>
      </c>
      <c r="BF263" s="59" t="str">
        <f t="shared" si="255"/>
        <v>-0.570560745887969+0.237080213527309i</v>
      </c>
      <c r="BG263" s="50">
        <f t="shared" si="256"/>
        <v>-4.1822483092096627</v>
      </c>
      <c r="BH263" s="61">
        <f t="shared" si="257"/>
        <v>157.43606861357276</v>
      </c>
      <c r="BI263" s="59" t="str">
        <f t="shared" si="258"/>
        <v>0.357474358030016+0.753779950635531i</v>
      </c>
      <c r="BJ263" s="64">
        <f t="shared" si="259"/>
        <v>-1.5740815084394744</v>
      </c>
      <c r="BK263" s="61">
        <f t="shared" si="260"/>
        <v>64.627712137638227</v>
      </c>
      <c r="BL263" s="59" t="str">
        <f t="shared" si="265"/>
        <v>1.71443231740399+4.72560842420849i</v>
      </c>
      <c r="BM263" s="64">
        <f t="shared" si="261"/>
        <v>14.026164669193509</v>
      </c>
      <c r="BN263" s="61">
        <f t="shared" si="266"/>
        <v>70.059425785242667</v>
      </c>
      <c r="BO263" s="50">
        <f t="shared" si="262"/>
        <v>-1.5740815084394744</v>
      </c>
      <c r="BP263" s="61">
        <f t="shared" si="263"/>
        <v>64.627712137638227</v>
      </c>
    </row>
    <row r="264" spans="14:68" x14ac:dyDescent="0.25">
      <c r="N264" s="11">
        <v>46</v>
      </c>
      <c r="O264" s="51">
        <f t="shared" si="264"/>
        <v>2884.0315031266077</v>
      </c>
      <c r="P264" s="49" t="str">
        <f t="shared" si="214"/>
        <v>37.1583961085025</v>
      </c>
      <c r="Q264" s="18" t="str">
        <f t="shared" si="215"/>
        <v>1+14.2033445635493i</v>
      </c>
      <c r="R264" s="18">
        <f t="shared" si="227"/>
        <v>14.238504022224577</v>
      </c>
      <c r="S264" s="18">
        <f t="shared" si="228"/>
        <v>1.5005063637612812</v>
      </c>
      <c r="T264" s="18" t="str">
        <f t="shared" si="216"/>
        <v>1+0.0163088139292994i</v>
      </c>
      <c r="U264" s="18">
        <f t="shared" si="229"/>
        <v>1.0001329798640681</v>
      </c>
      <c r="V264" s="18">
        <f t="shared" si="230"/>
        <v>1.6307368234632955E-2</v>
      </c>
      <c r="W264" s="32" t="str">
        <f t="shared" si="217"/>
        <v>1-0.142749311736489i</v>
      </c>
      <c r="X264" s="18">
        <f t="shared" si="231"/>
        <v>1.0101373005692056</v>
      </c>
      <c r="Y264" s="18">
        <f t="shared" si="232"/>
        <v>-0.14179137851099249</v>
      </c>
      <c r="Z264" s="32" t="str">
        <f t="shared" si="218"/>
        <v>0.999792059057224+0.0343693152806346i</v>
      </c>
      <c r="AA264" s="18">
        <f t="shared" si="233"/>
        <v>1.0003826323895988</v>
      </c>
      <c r="AB264" s="18">
        <f t="shared" si="234"/>
        <v>3.4362931786578732E-2</v>
      </c>
      <c r="AC264" s="32" t="str">
        <f>IMDIV(IMSUM(COMPLEX(0,2*PI()*O264*Constants!$B$61*Constants!$B$62),COMPLEX(1,0)),IMSUM(COMPLEX(0,2*PI()*O264*Constants!$B$61*Constants!$B$62),COMPLEX(2,0)))</f>
        <v>0.500655872881574+0.0180971343463618i</v>
      </c>
      <c r="AD264" s="18">
        <f t="shared" si="235"/>
        <v>0.50098284334132737</v>
      </c>
      <c r="AE264" s="18">
        <f t="shared" si="236"/>
        <v>3.6131122442390196E-2</v>
      </c>
      <c r="AF264" s="66" t="str">
        <f t="shared" si="237"/>
        <v>-0.0705070162095231-1.31846122261432i</v>
      </c>
      <c r="AG264" s="64">
        <f t="shared" si="238"/>
        <v>2.4137492900394339</v>
      </c>
      <c r="AH264" s="61">
        <f t="shared" si="239"/>
        <v>-93.061076099302468</v>
      </c>
      <c r="AI264" s="50" t="str">
        <f t="shared" si="219"/>
        <v>107.538871525172</v>
      </c>
      <c r="AJ264" s="50" t="str">
        <f t="shared" si="220"/>
        <v>1+13.5024271167901i</v>
      </c>
      <c r="AK264" s="50">
        <f t="shared" si="240"/>
        <v>13.539406857179106</v>
      </c>
      <c r="AL264" s="50">
        <f t="shared" si="241"/>
        <v>1.4968705316083677</v>
      </c>
      <c r="AM264" s="50" t="str">
        <f t="shared" si="221"/>
        <v>1+0.0163088139292994i</v>
      </c>
      <c r="AN264" s="50">
        <f t="shared" si="242"/>
        <v>1.0001329798640681</v>
      </c>
      <c r="AO264" s="50">
        <f t="shared" si="243"/>
        <v>1.6307368234632955E-2</v>
      </c>
      <c r="AP264" s="50" t="str">
        <f t="shared" si="222"/>
        <v>1-0.0468906667934279i</v>
      </c>
      <c r="AQ264" s="50">
        <f t="shared" si="244"/>
        <v>1.001098763675359</v>
      </c>
      <c r="AR264" s="50">
        <f t="shared" si="245"/>
        <v>-4.6856345349307708E-2</v>
      </c>
      <c r="AS264" s="59" t="str">
        <f t="shared" si="246"/>
        <v>0.344843465542185-7.9449617063419i</v>
      </c>
      <c r="AT264" s="50">
        <f t="shared" si="247"/>
        <v>18.010010190564088</v>
      </c>
      <c r="AU264" s="61">
        <f t="shared" si="248"/>
        <v>-87.514691395775955</v>
      </c>
      <c r="AV264" s="32" t="str">
        <f t="shared" si="223"/>
        <v>-0.0000333333333333333</v>
      </c>
      <c r="AW264" s="32" t="str">
        <f t="shared" si="224"/>
        <v>0.000869803409562632i</v>
      </c>
      <c r="AX264" s="32">
        <f t="shared" si="249"/>
        <v>8.6980340956263201E-4</v>
      </c>
      <c r="AY264" s="32">
        <f t="shared" si="250"/>
        <v>1.5707963267948966</v>
      </c>
      <c r="AZ264" s="32" t="str">
        <f t="shared" si="225"/>
        <v>1+0.354867710498644i</v>
      </c>
      <c r="BA264" s="32">
        <f t="shared" si="251"/>
        <v>1.0610990019571922</v>
      </c>
      <c r="BB264" s="32">
        <f t="shared" si="252"/>
        <v>0.34100471092192086</v>
      </c>
      <c r="BC264" s="32" t="str">
        <f t="shared" si="226"/>
        <v>1+17.0336501039349i</v>
      </c>
      <c r="BD264" s="32">
        <f t="shared" si="253"/>
        <v>17.062978516756136</v>
      </c>
      <c r="BE264" s="32">
        <f t="shared" si="254"/>
        <v>1.5121563104809936</v>
      </c>
      <c r="BF264" s="59" t="str">
        <f t="shared" si="255"/>
        <v>-0.567688595961203+0.239777188228855i</v>
      </c>
      <c r="BG264" s="50">
        <f t="shared" si="256"/>
        <v>-4.2048684505139056</v>
      </c>
      <c r="BH264" s="61">
        <f t="shared" si="257"/>
        <v>157.10204382473034</v>
      </c>
      <c r="BI264" s="59" t="str">
        <f t="shared" si="258"/>
        <v>0.356162953784638+0.731569426198089i</v>
      </c>
      <c r="BJ264" s="64">
        <f t="shared" si="259"/>
        <v>-1.7911191604744712</v>
      </c>
      <c r="BK264" s="61">
        <f t="shared" si="260"/>
        <v>64.04096772542789</v>
      </c>
      <c r="BL264" s="59" t="str">
        <f t="shared" si="265"/>
        <v>1.70925687575255+4.59294975258556i</v>
      </c>
      <c r="BM264" s="64">
        <f t="shared" si="261"/>
        <v>13.805141740050191</v>
      </c>
      <c r="BN264" s="61">
        <f t="shared" si="266"/>
        <v>69.587352428954404</v>
      </c>
      <c r="BO264" s="50">
        <f t="shared" si="262"/>
        <v>-1.7911191604744712</v>
      </c>
      <c r="BP264" s="61">
        <f t="shared" si="263"/>
        <v>64.04096772542789</v>
      </c>
    </row>
    <row r="265" spans="14:68" x14ac:dyDescent="0.25">
      <c r="N265" s="11">
        <v>47</v>
      </c>
      <c r="O265" s="51">
        <f t="shared" si="264"/>
        <v>2951.2092266663876</v>
      </c>
      <c r="P265" s="49" t="str">
        <f t="shared" si="214"/>
        <v>37.1583961085025</v>
      </c>
      <c r="Q265" s="18" t="str">
        <f t="shared" si="215"/>
        <v>1+14.5341829588289i</v>
      </c>
      <c r="R265" s="18">
        <f t="shared" si="227"/>
        <v>14.568544000026646</v>
      </c>
      <c r="S265" s="18">
        <f t="shared" si="228"/>
        <v>1.5021012715448623</v>
      </c>
      <c r="T265" s="18" t="str">
        <f t="shared" si="216"/>
        <v>1+0.0166886950062628i</v>
      </c>
      <c r="U265" s="18">
        <f t="shared" si="229"/>
        <v>1.0001392465757015</v>
      </c>
      <c r="V265" s="18">
        <f t="shared" si="230"/>
        <v>1.6687145928166378E-2</v>
      </c>
      <c r="W265" s="32" t="str">
        <f t="shared" si="217"/>
        <v>1-0.146074370352849i</v>
      </c>
      <c r="X265" s="18">
        <f t="shared" si="231"/>
        <v>1.0106125477520955</v>
      </c>
      <c r="Y265" s="18">
        <f t="shared" si="232"/>
        <v>-0.14504850766036637</v>
      </c>
      <c r="Z265" s="32" t="str">
        <f t="shared" si="218"/>
        <v>0.999782259102511+0.0351698794761612i</v>
      </c>
      <c r="AA265" s="18">
        <f t="shared" si="233"/>
        <v>1.0004006627539228</v>
      </c>
      <c r="AB265" s="18">
        <f t="shared" si="234"/>
        <v>3.5163039571995361E-2</v>
      </c>
      <c r="AC265" s="32" t="str">
        <f>IMDIV(IMSUM(COMPLEX(0,2*PI()*O265*Constants!$B$61*Constants!$B$62),COMPLEX(1,0)),IMSUM(COMPLEX(0,2*PI()*O265*Constants!$B$61*Constants!$B$62),COMPLEX(2,0)))</f>
        <v>0.500686740763412+0.0185175259910721i</v>
      </c>
      <c r="AD265" s="18">
        <f t="shared" si="235"/>
        <v>0.50102905219669458</v>
      </c>
      <c r="AE265" s="18">
        <f t="shared" si="236"/>
        <v>3.6967405829891123E-2</v>
      </c>
      <c r="AF265" s="66" t="str">
        <f t="shared" si="237"/>
        <v>-0.0746664550952275-1.28898388707364i</v>
      </c>
      <c r="AG265" s="64">
        <f t="shared" si="238"/>
        <v>2.2194980877623829</v>
      </c>
      <c r="AH265" s="61">
        <f t="shared" si="239"/>
        <v>-93.315244969288912</v>
      </c>
      <c r="AI265" s="50" t="str">
        <f t="shared" si="219"/>
        <v>107.538871525172</v>
      </c>
      <c r="AJ265" s="50" t="str">
        <f t="shared" si="220"/>
        <v>1+13.8169390473929i</v>
      </c>
      <c r="AK265" s="50">
        <f t="shared" si="240"/>
        <v>13.853079247566967</v>
      </c>
      <c r="AL265" s="50">
        <f t="shared" si="241"/>
        <v>1.4985473706245516</v>
      </c>
      <c r="AM265" s="50" t="str">
        <f t="shared" si="221"/>
        <v>1+0.0166886950062628i</v>
      </c>
      <c r="AN265" s="50">
        <f t="shared" si="242"/>
        <v>1.0001392465757015</v>
      </c>
      <c r="AO265" s="50">
        <f t="shared" si="243"/>
        <v>1.6687145928166378E-2</v>
      </c>
      <c r="AP265" s="50" t="str">
        <f t="shared" si="222"/>
        <v>1-0.0479828907330866i</v>
      </c>
      <c r="AQ265" s="50">
        <f t="shared" si="244"/>
        <v>1.0011505170568027</v>
      </c>
      <c r="AR265" s="50">
        <f t="shared" si="245"/>
        <v>-4.794611692531521E-2</v>
      </c>
      <c r="AS265" s="59" t="str">
        <f t="shared" si="246"/>
        <v>0.318518851430371-7.76629804940951i</v>
      </c>
      <c r="AT265" s="50">
        <f t="shared" si="247"/>
        <v>17.811580039886024</v>
      </c>
      <c r="AU265" s="61">
        <f t="shared" si="248"/>
        <v>-87.651446847272027</v>
      </c>
      <c r="AV265" s="32" t="str">
        <f t="shared" si="223"/>
        <v>-0.0000333333333333333</v>
      </c>
      <c r="AW265" s="32" t="str">
        <f t="shared" si="224"/>
        <v>0.000890063733667348i</v>
      </c>
      <c r="AX265" s="32">
        <f t="shared" si="249"/>
        <v>8.9006373366734798E-4</v>
      </c>
      <c r="AY265" s="32">
        <f t="shared" si="250"/>
        <v>1.5707963267948966</v>
      </c>
      <c r="AZ265" s="32" t="str">
        <f t="shared" si="225"/>
        <v>1+0.363133641339978i</v>
      </c>
      <c r="BA265" s="32">
        <f t="shared" si="251"/>
        <v>1.0638919312941666</v>
      </c>
      <c r="BB265" s="32">
        <f t="shared" si="252"/>
        <v>0.34832692170903251</v>
      </c>
      <c r="BC265" s="32" t="str">
        <f t="shared" si="226"/>
        <v>1+17.430414784319i</v>
      </c>
      <c r="BD265" s="32">
        <f t="shared" si="253"/>
        <v>17.459076709648947</v>
      </c>
      <c r="BE265" s="32">
        <f t="shared" si="254"/>
        <v>1.5134881656973411</v>
      </c>
      <c r="BF265" s="59" t="str">
        <f t="shared" si="255"/>
        <v>-0.564711915827969+0.242516395960572i</v>
      </c>
      <c r="BG265" s="50">
        <f t="shared" si="256"/>
        <v>-4.2283720494745358</v>
      </c>
      <c r="BH265" s="61">
        <f t="shared" si="257"/>
        <v>156.75882173274283</v>
      </c>
      <c r="BI265" s="59" t="str">
        <f t="shared" si="258"/>
        <v>0.354764763649257+0.709796720751891i</v>
      </c>
      <c r="BJ265" s="64">
        <f t="shared" si="259"/>
        <v>-2.0088739617121543</v>
      </c>
      <c r="BK265" s="61">
        <f t="shared" si="260"/>
        <v>63.443576763453898</v>
      </c>
      <c r="BL265" s="59" t="str">
        <f t="shared" si="265"/>
        <v>1.70358322207985+4.46296709426746i</v>
      </c>
      <c r="BM265" s="64">
        <f t="shared" si="261"/>
        <v>13.583207990411497</v>
      </c>
      <c r="BN265" s="61">
        <f t="shared" si="266"/>
        <v>69.107374885470747</v>
      </c>
      <c r="BO265" s="50">
        <f t="shared" si="262"/>
        <v>-2.0088739617121543</v>
      </c>
      <c r="BP265" s="61">
        <f t="shared" si="263"/>
        <v>63.443576763453898</v>
      </c>
    </row>
    <row r="266" spans="14:68" x14ac:dyDescent="0.25">
      <c r="N266" s="11">
        <v>48</v>
      </c>
      <c r="O266" s="51">
        <f t="shared" si="264"/>
        <v>3019.9517204020176</v>
      </c>
      <c r="P266" s="49" t="str">
        <f t="shared" si="214"/>
        <v>37.1583961085025</v>
      </c>
      <c r="Q266" s="18" t="str">
        <f t="shared" si="215"/>
        <v>1+14.872727570296i</v>
      </c>
      <c r="R266" s="18">
        <f t="shared" si="227"/>
        <v>14.906308241152226</v>
      </c>
      <c r="S266" s="18">
        <f t="shared" si="228"/>
        <v>1.5036602131008874</v>
      </c>
      <c r="T266" s="18" t="str">
        <f t="shared" si="216"/>
        <v>1+0.0170774246502195i</v>
      </c>
      <c r="U266" s="18">
        <f t="shared" si="229"/>
        <v>1.00014580858627</v>
      </c>
      <c r="V266" s="18">
        <f t="shared" si="230"/>
        <v>1.7075764796203066E-2</v>
      </c>
      <c r="W266" s="32" t="str">
        <f t="shared" si="217"/>
        <v>1-0.149476879533894i</v>
      </c>
      <c r="X266" s="18">
        <f t="shared" si="231"/>
        <v>1.0111099532272394</v>
      </c>
      <c r="Y266" s="18">
        <f t="shared" si="232"/>
        <v>-0.1483782991317209</v>
      </c>
      <c r="Z266" s="32" t="str">
        <f t="shared" si="218"/>
        <v>0.999771997290161+0.0359890912073145i</v>
      </c>
      <c r="AA266" s="18">
        <f t="shared" si="233"/>
        <v>1.0004195426177389</v>
      </c>
      <c r="AB266" s="18">
        <f t="shared" si="234"/>
        <v>3.5981762267119861E-2</v>
      </c>
      <c r="AC266" s="32" t="str">
        <f>IMDIV(IMSUM(COMPLEX(0,2*PI()*O266*Constants!$B$61*Constants!$B$62),COMPLEX(1,0)),IMSUM(COMPLEX(0,2*PI()*O266*Constants!$B$61*Constants!$B$62),COMPLEX(2,0)))</f>
        <v>0.500719059313633+0.0189476280974714i</v>
      </c>
      <c r="AD266" s="18">
        <f t="shared" si="235"/>
        <v>0.50107742811909783</v>
      </c>
      <c r="AE266" s="18">
        <f t="shared" si="236"/>
        <v>3.7822790289049855E-2</v>
      </c>
      <c r="AF266" s="66" t="str">
        <f t="shared" si="237"/>
        <v>-0.0786420924661147-1.2601643659833i</v>
      </c>
      <c r="AG266" s="64">
        <f t="shared" si="238"/>
        <v>2.0254248006769706</v>
      </c>
      <c r="AH266" s="61">
        <f t="shared" si="239"/>
        <v>-93.570981953597681</v>
      </c>
      <c r="AI266" s="50" t="str">
        <f t="shared" si="219"/>
        <v>107.538871525172</v>
      </c>
      <c r="AJ266" s="50" t="str">
        <f t="shared" si="220"/>
        <v>1+14.1387769019675i</v>
      </c>
      <c r="AK266" s="50">
        <f t="shared" si="240"/>
        <v>14.17409652442122</v>
      </c>
      <c r="AL266" s="50">
        <f t="shared" si="241"/>
        <v>1.5001864335025401</v>
      </c>
      <c r="AM266" s="50" t="str">
        <f t="shared" si="221"/>
        <v>1+0.0170774246502195i</v>
      </c>
      <c r="AN266" s="50">
        <f t="shared" si="242"/>
        <v>1.00014580858627</v>
      </c>
      <c r="AO266" s="50">
        <f t="shared" si="243"/>
        <v>1.7075764796203066E-2</v>
      </c>
      <c r="AP266" s="50" t="str">
        <f t="shared" si="222"/>
        <v>1-0.0491005558365407i</v>
      </c>
      <c r="AQ266" s="50">
        <f t="shared" si="244"/>
        <v>1.0012047066326932</v>
      </c>
      <c r="AR266" s="50">
        <f t="shared" si="245"/>
        <v>-4.906115455185537E-2</v>
      </c>
      <c r="AS266" s="59" t="str">
        <f t="shared" si="246"/>
        <v>0.293366967534683-7.59158149485914i</v>
      </c>
      <c r="AT266" s="50">
        <f t="shared" si="247"/>
        <v>17.61312581363892</v>
      </c>
      <c r="AU266" s="61">
        <f t="shared" si="248"/>
        <v>-87.786978961558717</v>
      </c>
      <c r="AV266" s="32" t="str">
        <f t="shared" si="223"/>
        <v>-0.0000333333333333333</v>
      </c>
      <c r="AW266" s="32" t="str">
        <f t="shared" si="224"/>
        <v>0.00091079598134504i</v>
      </c>
      <c r="AX266" s="32">
        <f t="shared" si="249"/>
        <v>9.1079598134504E-4</v>
      </c>
      <c r="AY266" s="32">
        <f t="shared" si="250"/>
        <v>1.5707963267948966</v>
      </c>
      <c r="AZ266" s="32" t="str">
        <f t="shared" si="225"/>
        <v>1+0.371592110444592i</v>
      </c>
      <c r="BA266" s="32">
        <f t="shared" si="251"/>
        <v>1.0668086503889374</v>
      </c>
      <c r="BB266" s="32">
        <f t="shared" si="252"/>
        <v>0.35577958917890179</v>
      </c>
      <c r="BC266" s="32" t="str">
        <f t="shared" si="226"/>
        <v>1+17.8364213013404i</v>
      </c>
      <c r="BD266" s="32">
        <f t="shared" si="253"/>
        <v>17.864431836442758</v>
      </c>
      <c r="BE266" s="32">
        <f t="shared" si="254"/>
        <v>1.5147899008888592</v>
      </c>
      <c r="BF266" s="59" t="str">
        <f t="shared" si="255"/>
        <v>-0.561628224326583+0.245294641326317i</v>
      </c>
      <c r="BG266" s="50">
        <f t="shared" si="256"/>
        <v>-4.252793613049934</v>
      </c>
      <c r="BH266" s="61">
        <f t="shared" si="257"/>
        <v>156.40639927312256</v>
      </c>
      <c r="BI266" s="59" t="str">
        <f t="shared" si="258"/>
        <v>0.35327918491515+0.688453391362208i</v>
      </c>
      <c r="BJ266" s="64">
        <f t="shared" si="259"/>
        <v>-2.2273688123729691</v>
      </c>
      <c r="BK266" s="61">
        <f t="shared" si="260"/>
        <v>62.835417319524879</v>
      </c>
      <c r="BL266" s="59" t="str">
        <f t="shared" si="265"/>
        <v>1.6974110908284+4.33560777986669i</v>
      </c>
      <c r="BM266" s="64">
        <f t="shared" si="261"/>
        <v>13.360332200588974</v>
      </c>
      <c r="BN266" s="61">
        <f t="shared" si="266"/>
        <v>68.619420311563829</v>
      </c>
      <c r="BO266" s="50">
        <f t="shared" si="262"/>
        <v>-2.2273688123729691</v>
      </c>
      <c r="BP266" s="61">
        <f t="shared" si="263"/>
        <v>62.835417319524879</v>
      </c>
    </row>
    <row r="267" spans="14:68" x14ac:dyDescent="0.25">
      <c r="N267" s="11">
        <v>49</v>
      </c>
      <c r="O267" s="51">
        <f t="shared" si="264"/>
        <v>3090.295432513592</v>
      </c>
      <c r="P267" s="49" t="str">
        <f t="shared" si="214"/>
        <v>37.1583961085025</v>
      </c>
      <c r="Q267" s="18" t="str">
        <f t="shared" si="215"/>
        <v>1+15.2191578987846i</v>
      </c>
      <c r="R267" s="18">
        <f t="shared" si="227"/>
        <v>15.251975844071406</v>
      </c>
      <c r="S267" s="18">
        <f t="shared" si="228"/>
        <v>1.505183984674209</v>
      </c>
      <c r="T267" s="18" t="str">
        <f t="shared" si="216"/>
        <v>1+0.0174752089707723i</v>
      </c>
      <c r="U267" s="18">
        <f t="shared" si="229"/>
        <v>1.0001526798087241</v>
      </c>
      <c r="V267" s="18">
        <f t="shared" si="230"/>
        <v>1.7473430419813418E-2</v>
      </c>
      <c r="W267" s="32" t="str">
        <f t="shared" si="217"/>
        <v>1-0.152958643335029i</v>
      </c>
      <c r="X267" s="18">
        <f t="shared" si="231"/>
        <v>1.0116305385717124</v>
      </c>
      <c r="Y267" s="18">
        <f t="shared" si="232"/>
        <v>-0.15178222291847304</v>
      </c>
      <c r="Z267" s="32" t="str">
        <f t="shared" si="218"/>
        <v>0.999761251853495+0.0368273848309978i</v>
      </c>
      <c r="AA267" s="18">
        <f t="shared" si="233"/>
        <v>1.0004393119930655</v>
      </c>
      <c r="AB267" s="18">
        <f t="shared" si="234"/>
        <v>3.6819531897449749E-2</v>
      </c>
      <c r="AC267" s="32" t="str">
        <f>IMDIV(IMSUM(COMPLEX(0,2*PI()*O267*Constants!$B$61*Constants!$B$62),COMPLEX(1,0)),IMSUM(COMPLEX(0,2*PI()*O267*Constants!$B$61*Constants!$B$62),COMPLEX(2,0)))</f>
        <v>0.5007528965064+0.0193876610257853i</v>
      </c>
      <c r="AD267" s="18">
        <f t="shared" si="235"/>
        <v>0.50112807221268307</v>
      </c>
      <c r="AE267" s="18">
        <f t="shared" si="236"/>
        <v>3.8697693904791747E-2</v>
      </c>
      <c r="AF267" s="66" t="str">
        <f t="shared" si="237"/>
        <v>-0.0824421296456132-1.23198906230787i</v>
      </c>
      <c r="AG267" s="64">
        <f t="shared" si="238"/>
        <v>1.8315413631756561</v>
      </c>
      <c r="AH267" s="61">
        <f t="shared" si="239"/>
        <v>-93.828405917925167</v>
      </c>
      <c r="AI267" s="50" t="str">
        <f t="shared" si="219"/>
        <v>107.538871525172</v>
      </c>
      <c r="AJ267" s="50" t="str">
        <f t="shared" si="220"/>
        <v>1+14.4681113232043i</v>
      </c>
      <c r="AK267" s="50">
        <f t="shared" si="240"/>
        <v>14.502628908602484</v>
      </c>
      <c r="AL267" s="50">
        <f t="shared" si="241"/>
        <v>1.5017885540483067</v>
      </c>
      <c r="AM267" s="50" t="str">
        <f t="shared" si="221"/>
        <v>1+0.0174752089707723i</v>
      </c>
      <c r="AN267" s="50">
        <f t="shared" si="242"/>
        <v>1.0001526798087241</v>
      </c>
      <c r="AO267" s="50">
        <f t="shared" si="243"/>
        <v>1.7473430419813418E-2</v>
      </c>
      <c r="AP267" s="50" t="str">
        <f t="shared" si="222"/>
        <v>1-0.0502442547046219i</v>
      </c>
      <c r="AQ267" s="50">
        <f t="shared" si="244"/>
        <v>1.0012614469412187</v>
      </c>
      <c r="AR267" s="50">
        <f t="shared" si="245"/>
        <v>-5.0202038339644497E-2</v>
      </c>
      <c r="AS267" s="59" t="str">
        <f t="shared" si="246"/>
        <v>0.269336086802113-7.42073068638413i</v>
      </c>
      <c r="AT267" s="50">
        <f t="shared" si="247"/>
        <v>17.41465075055374</v>
      </c>
      <c r="AU267" s="61">
        <f t="shared" si="248"/>
        <v>-87.921356971167256</v>
      </c>
      <c r="AV267" s="32" t="str">
        <f t="shared" si="223"/>
        <v>-0.0000333333333333333</v>
      </c>
      <c r="AW267" s="32" t="str">
        <f t="shared" si="224"/>
        <v>0.000932011145107852i</v>
      </c>
      <c r="AX267" s="32">
        <f t="shared" si="249"/>
        <v>9.3201114510785201E-4</v>
      </c>
      <c r="AY267" s="32">
        <f t="shared" si="250"/>
        <v>1.5707963267948966</v>
      </c>
      <c r="AZ267" s="32" t="str">
        <f t="shared" si="225"/>
        <v>1+0.380247602604767i</v>
      </c>
      <c r="BA267" s="32">
        <f t="shared" si="251"/>
        <v>1.0698543075048457</v>
      </c>
      <c r="BB267" s="32">
        <f t="shared" si="252"/>
        <v>0.36336335234871553</v>
      </c>
      <c r="BC267" s="32" t="str">
        <f t="shared" si="226"/>
        <v>1+18.2518849250288i</v>
      </c>
      <c r="BD267" s="32">
        <f t="shared" si="253"/>
        <v>18.279258828423366</v>
      </c>
      <c r="BE267" s="32">
        <f t="shared" si="254"/>
        <v>1.5160621885963155</v>
      </c>
      <c r="BF267" s="59" t="str">
        <f t="shared" si="255"/>
        <v>-0.558435093775809+0.248108557044684i</v>
      </c>
      <c r="BG267" s="50">
        <f t="shared" si="256"/>
        <v>-4.2781683538439639</v>
      </c>
      <c r="BH267" s="61">
        <f t="shared" si="257"/>
        <v>156.04477836662912</v>
      </c>
      <c r="BI267" s="59" t="str">
        <f t="shared" si="258"/>
        <v>0.351705606943764+0.667531329714602i</v>
      </c>
      <c r="BJ267" s="64">
        <f t="shared" si="259"/>
        <v>-2.4466269906683142</v>
      </c>
      <c r="BK267" s="61">
        <f t="shared" si="260"/>
        <v>62.216372448703929</v>
      </c>
      <c r="BL267" s="59" t="str">
        <f t="shared" si="265"/>
        <v>1.69074005992543+4.21082102459248i</v>
      </c>
      <c r="BM267" s="64">
        <f t="shared" si="261"/>
        <v>13.136482396709779</v>
      </c>
      <c r="BN267" s="61">
        <f t="shared" si="266"/>
        <v>68.123421395461818</v>
      </c>
      <c r="BO267" s="50">
        <f t="shared" si="262"/>
        <v>-2.4466269906683142</v>
      </c>
      <c r="BP267" s="61">
        <f t="shared" si="263"/>
        <v>62.216372448703929</v>
      </c>
    </row>
    <row r="268" spans="14:68" x14ac:dyDescent="0.25">
      <c r="N268" s="11">
        <v>50</v>
      </c>
      <c r="O268" s="51">
        <f t="shared" si="264"/>
        <v>3162.2776601683804</v>
      </c>
      <c r="P268" s="49" t="str">
        <f t="shared" si="214"/>
        <v>37.1583961085025</v>
      </c>
      <c r="Q268" s="18" t="str">
        <f t="shared" si="215"/>
        <v>1+15.5736576262406i</v>
      </c>
      <c r="R268" s="18">
        <f t="shared" si="227"/>
        <v>15.605730096966372</v>
      </c>
      <c r="S268" s="18">
        <f t="shared" si="228"/>
        <v>1.5066733658686386</v>
      </c>
      <c r="T268" s="18" t="str">
        <f t="shared" si="216"/>
        <v>1+0.017882258878433i</v>
      </c>
      <c r="U268" s="18">
        <f t="shared" si="229"/>
        <v>1.0001598748113201</v>
      </c>
      <c r="V268" s="18">
        <f t="shared" si="230"/>
        <v>1.7880353143197719E-2</v>
      </c>
      <c r="W268" s="32" t="str">
        <f t="shared" si="217"/>
        <v>1-0.156521507833506i</v>
      </c>
      <c r="X268" s="18">
        <f t="shared" si="231"/>
        <v>1.0121753713731996</v>
      </c>
      <c r="Y268" s="18">
        <f t="shared" si="232"/>
        <v>-0.15526176814122383</v>
      </c>
      <c r="Z268" s="32" t="str">
        <f t="shared" si="218"/>
        <v>0.99975+0.0376852048215865i</v>
      </c>
      <c r="AA268" s="18">
        <f t="shared" si="233"/>
        <v>1.0004600127753458</v>
      </c>
      <c r="AB268" s="18">
        <f t="shared" si="234"/>
        <v>3.7676790439455203E-2</v>
      </c>
      <c r="AC268" s="32" t="str">
        <f>IMDIV(IMSUM(COMPLEX(0,2*PI()*O268*Constants!$B$61*Constants!$B$62),COMPLEX(1,0)),IMSUM(COMPLEX(0,2*PI()*O268*Constants!$B$61*Constants!$B$62),COMPLEX(2,0)))</f>
        <v>0.500788323481543+0.0198378498547547i</v>
      </c>
      <c r="AD268" s="18">
        <f t="shared" si="235"/>
        <v>0.50118109024814006</v>
      </c>
      <c r="AE268" s="18">
        <f t="shared" si="236"/>
        <v>3.9592542609255772E-2</v>
      </c>
      <c r="AF268" s="66" t="str">
        <f t="shared" si="237"/>
        <v>-0.0860744155877705-1.20444460904123i</v>
      </c>
      <c r="AG268" s="64">
        <f t="shared" si="238"/>
        <v>1.6378600575630813</v>
      </c>
      <c r="AH268" s="61">
        <f t="shared" si="239"/>
        <v>-94.087635718042705</v>
      </c>
      <c r="AI268" s="50" t="str">
        <f t="shared" si="219"/>
        <v>107.538871525172</v>
      </c>
      <c r="AJ268" s="50" t="str">
        <f t="shared" si="220"/>
        <v>1+14.8051169285728i</v>
      </c>
      <c r="AK268" s="50">
        <f t="shared" si="240"/>
        <v>14.838850604703618</v>
      </c>
      <c r="AL268" s="50">
        <f t="shared" si="241"/>
        <v>1.503354548810435</v>
      </c>
      <c r="AM268" s="50" t="str">
        <f t="shared" si="221"/>
        <v>1+0.017882258878433i</v>
      </c>
      <c r="AN268" s="50">
        <f t="shared" si="242"/>
        <v>1.0001598748113201</v>
      </c>
      <c r="AO268" s="50">
        <f t="shared" si="243"/>
        <v>1.7880353143197719E-2</v>
      </c>
      <c r="AP268" s="50" t="str">
        <f t="shared" si="222"/>
        <v>1-0.0514145937416088i</v>
      </c>
      <c r="AQ268" s="50">
        <f t="shared" si="244"/>
        <v>1.0013208578920219</v>
      </c>
      <c r="AR268" s="50">
        <f t="shared" si="245"/>
        <v>-5.1369361313681625E-2</v>
      </c>
      <c r="AS268" s="59" t="str">
        <f t="shared" si="246"/>
        <v>0.246376718490405-7.25366557651862i</v>
      </c>
      <c r="AT268" s="50">
        <f t="shared" si="247"/>
        <v>17.216158047357254</v>
      </c>
      <c r="AU268" s="61">
        <f t="shared" si="248"/>
        <v>-88.054649586879904</v>
      </c>
      <c r="AV268" s="32" t="str">
        <f t="shared" si="223"/>
        <v>-0.0000333333333333333</v>
      </c>
      <c r="AW268" s="32" t="str">
        <f t="shared" si="224"/>
        <v>0.000953720473516426i</v>
      </c>
      <c r="AX268" s="32">
        <f t="shared" si="249"/>
        <v>9.5372047351642596E-4</v>
      </c>
      <c r="AY268" s="32">
        <f t="shared" si="250"/>
        <v>1.5707963267948966</v>
      </c>
      <c r="AZ268" s="32" t="str">
        <f t="shared" si="225"/>
        <v>1+0.389104707077014i</v>
      </c>
      <c r="BA268" s="32">
        <f t="shared" si="251"/>
        <v>1.0730342366716399</v>
      </c>
      <c r="BB268" s="32">
        <f t="shared" si="252"/>
        <v>0.37107874188157663</v>
      </c>
      <c r="BC268" s="32" t="str">
        <f t="shared" si="226"/>
        <v>1+18.6770259396967i</v>
      </c>
      <c r="BD268" s="32">
        <f t="shared" si="253"/>
        <v>18.703777638544128</v>
      </c>
      <c r="BE268" s="32">
        <f t="shared" si="254"/>
        <v>1.5173056869183814</v>
      </c>
      <c r="BF268" s="59" t="str">
        <f t="shared" si="255"/>
        <v>-0.555130161425463+0.250954600590297i</v>
      </c>
      <c r="BG268" s="50">
        <f t="shared" si="256"/>
        <v>-4.3045321743452014</v>
      </c>
      <c r="BH268" s="61">
        <f t="shared" si="257"/>
        <v>155.67396631478272</v>
      </c>
      <c r="BI268" s="59" t="str">
        <f t="shared" si="258"/>
        <v>0.35004342001492+0.647022759660214i</v>
      </c>
      <c r="BJ268" s="64">
        <f t="shared" si="259"/>
        <v>-2.6666721167821232</v>
      </c>
      <c r="BK268" s="61">
        <f t="shared" si="260"/>
        <v>61.586330596739998</v>
      </c>
      <c r="BL268" s="59" t="str">
        <f t="shared" si="265"/>
        <v>1.68356960006376+4.08855791340261i</v>
      </c>
      <c r="BM268" s="64">
        <f t="shared" si="261"/>
        <v>12.911625873012042</v>
      </c>
      <c r="BN268" s="61">
        <f t="shared" si="266"/>
        <v>67.619316727902856</v>
      </c>
      <c r="BO268" s="50">
        <f t="shared" si="262"/>
        <v>-2.6666721167821232</v>
      </c>
      <c r="BP268" s="61">
        <f t="shared" si="263"/>
        <v>61.586330596739998</v>
      </c>
    </row>
    <row r="269" spans="14:68" x14ac:dyDescent="0.25">
      <c r="N269" s="11">
        <v>51</v>
      </c>
      <c r="O269" s="51">
        <f t="shared" si="264"/>
        <v>3235.9365692962833</v>
      </c>
      <c r="P269" s="49" t="str">
        <f t="shared" si="214"/>
        <v>37.1583961085025</v>
      </c>
      <c r="Q269" s="18" t="str">
        <f t="shared" si="215"/>
        <v>1+15.9364147131117i</v>
      </c>
      <c r="R269" s="18">
        <f t="shared" si="227"/>
        <v>15.967758574962334</v>
      </c>
      <c r="S269" s="18">
        <f t="shared" si="228"/>
        <v>1.5081291199282736</v>
      </c>
      <c r="T269" s="18" t="str">
        <f t="shared" si="216"/>
        <v>1+0.0182987901964508i</v>
      </c>
      <c r="U269" s="18">
        <f t="shared" si="229"/>
        <v>1.0001674088484656</v>
      </c>
      <c r="V269" s="18">
        <f t="shared" si="230"/>
        <v>1.8296748182815147E-2</v>
      </c>
      <c r="W269" s="32" t="str">
        <f t="shared" si="217"/>
        <v>1-0.160167362107243i</v>
      </c>
      <c r="X269" s="18">
        <f t="shared" si="231"/>
        <v>1.0127455672005643</v>
      </c>
      <c r="Y269" s="18">
        <f t="shared" si="232"/>
        <v>-0.15881844250633623</v>
      </c>
      <c r="Z269" s="32" t="str">
        <f t="shared" si="218"/>
        <v>0.999738217862987+0.0385630060065943i</v>
      </c>
      <c r="AA269" s="18">
        <f t="shared" si="233"/>
        <v>1.0004816888319976</v>
      </c>
      <c r="AB269" s="18">
        <f t="shared" si="234"/>
        <v>3.8553990044366646E-2</v>
      </c>
      <c r="AC269" s="32" t="str">
        <f>IMDIV(IMSUM(COMPLEX(0,2*PI()*O269*Constants!$B$61*Constants!$B$62),COMPLEX(1,0)),IMSUM(COMPLEX(0,2*PI()*O269*Constants!$B$61*Constants!$B$62),COMPLEX(2,0)))</f>
        <v>0.500825414690116+0.0202984244621909i</v>
      </c>
      <c r="AD269" s="18">
        <f t="shared" si="235"/>
        <v>0.50123659287323974</v>
      </c>
      <c r="AE269" s="18">
        <f t="shared" si="236"/>
        <v>4.0507770232708261E-2</v>
      </c>
      <c r="AF269" s="66" t="str">
        <f t="shared" si="237"/>
        <v>-0.089546461770409-1.17751786932958i</v>
      </c>
      <c r="AG269" s="64">
        <f t="shared" si="238"/>
        <v>1.4443935346370664</v>
      </c>
      <c r="AH269" s="61">
        <f t="shared" si="239"/>
        <v>-94.348790188546189</v>
      </c>
      <c r="AI269" s="50" t="str">
        <f t="shared" si="219"/>
        <v>107.538871525172</v>
      </c>
      <c r="AJ269" s="50" t="str">
        <f t="shared" si="220"/>
        <v>1+15.1499724029057i</v>
      </c>
      <c r="AK269" s="50">
        <f t="shared" si="240"/>
        <v>15.182939893472682</v>
      </c>
      <c r="AL269" s="50">
        <f t="shared" si="241"/>
        <v>1.5048852173599951</v>
      </c>
      <c r="AM269" s="50" t="str">
        <f t="shared" si="221"/>
        <v>1+0.0182987901964508i</v>
      </c>
      <c r="AN269" s="50">
        <f t="shared" si="242"/>
        <v>1.0001674088484656</v>
      </c>
      <c r="AO269" s="50">
        <f t="shared" si="243"/>
        <v>1.8296748182815147E-2</v>
      </c>
      <c r="AP269" s="50" t="str">
        <f t="shared" si="222"/>
        <v>1-0.0526121934767502i</v>
      </c>
      <c r="AQ269" s="50">
        <f t="shared" si="244"/>
        <v>1.0013830650167972</v>
      </c>
      <c r="AR269" s="50">
        <f t="shared" si="245"/>
        <v>-5.2563729671680055E-2</v>
      </c>
      <c r="AS269" s="59" t="str">
        <f t="shared" si="246"/>
        <v>0.224441515466747-7.09030743233908i</v>
      </c>
      <c r="AT269" s="50">
        <f t="shared" si="247"/>
        <v>17.017650865235975</v>
      </c>
      <c r="AU269" s="61">
        <f t="shared" si="248"/>
        <v>-88.186925022320125</v>
      </c>
      <c r="AV269" s="32" t="str">
        <f t="shared" si="223"/>
        <v>-0.0000333333333333333</v>
      </c>
      <c r="AW269" s="32" t="str">
        <f t="shared" si="224"/>
        <v>0.000975935477144041i</v>
      </c>
      <c r="AX269" s="32">
        <f t="shared" si="249"/>
        <v>9.7593547714404101E-4</v>
      </c>
      <c r="AY269" s="32">
        <f t="shared" si="250"/>
        <v>1.5707963267948966</v>
      </c>
      <c r="AZ269" s="32" t="str">
        <f t="shared" si="225"/>
        <v>1+0.398168120015364i</v>
      </c>
      <c r="BA269" s="32">
        <f t="shared" si="251"/>
        <v>1.0763539621316816</v>
      </c>
      <c r="BB269" s="32">
        <f t="shared" si="252"/>
        <v>0.37892617335604828</v>
      </c>
      <c r="BC269" s="32" t="str">
        <f t="shared" si="226"/>
        <v>1+19.1120697607375i</v>
      </c>
      <c r="BD269" s="32">
        <f t="shared" si="253"/>
        <v>19.138213358077518</v>
      </c>
      <c r="BE269" s="32">
        <f t="shared" si="254"/>
        <v>1.5185210397831557</v>
      </c>
      <c r="BF269" s="59" t="str">
        <f t="shared" si="255"/>
        <v>-0.551711141547559+0.25382905147283i</v>
      </c>
      <c r="BG269" s="50">
        <f t="shared" si="256"/>
        <v>-4.3319216473651334</v>
      </c>
      <c r="BH269" s="61">
        <f t="shared" si="257"/>
        <v>155.29397620104811</v>
      </c>
      <c r="BI269" s="59" t="str">
        <f t="shared" si="258"/>
        <v>0.348292024509132+0.626920234426541i</v>
      </c>
      <c r="BJ269" s="64">
        <f t="shared" si="259"/>
        <v>-2.8875281127280701</v>
      </c>
      <c r="BK269" s="61">
        <f t="shared" si="260"/>
        <v>60.945186012501921</v>
      </c>
      <c r="BL269" s="59" t="str">
        <f t="shared" si="265"/>
        <v>1.67589912549256+3.96877138440098i</v>
      </c>
      <c r="BM269" s="64">
        <f t="shared" si="261"/>
        <v>12.685729217870829</v>
      </c>
      <c r="BN269" s="61">
        <f t="shared" si="266"/>
        <v>67.107051178727986</v>
      </c>
      <c r="BO269" s="50">
        <f t="shared" si="262"/>
        <v>-2.8875281127280701</v>
      </c>
      <c r="BP269" s="61">
        <f t="shared" si="263"/>
        <v>60.945186012501921</v>
      </c>
    </row>
    <row r="270" spans="14:68" x14ac:dyDescent="0.25">
      <c r="N270" s="11">
        <v>52</v>
      </c>
      <c r="O270" s="51">
        <f t="shared" si="264"/>
        <v>3311.3112148259115</v>
      </c>
      <c r="P270" s="49" t="str">
        <f t="shared" si="214"/>
        <v>37.1583961085025</v>
      </c>
      <c r="Q270" s="18" t="str">
        <f t="shared" si="215"/>
        <v>1+16.3076214980072i</v>
      </c>
      <c r="R270" s="18">
        <f t="shared" si="227"/>
        <v>16.338253239629584</v>
      </c>
      <c r="S270" s="18">
        <f t="shared" si="228"/>
        <v>1.5095519940187656</v>
      </c>
      <c r="T270" s="18" t="str">
        <f t="shared" si="216"/>
        <v>1+0.0187250237752439i</v>
      </c>
      <c r="U270" s="18">
        <f t="shared" si="229"/>
        <v>1.0001752978930161</v>
      </c>
      <c r="V270" s="18">
        <f t="shared" si="230"/>
        <v>1.8722835738923325E-2</v>
      </c>
      <c r="W270" s="32" t="str">
        <f t="shared" si="217"/>
        <v>1-0.163898139236437i</v>
      </c>
      <c r="X270" s="18">
        <f t="shared" si="231"/>
        <v>1.0133422916493551</v>
      </c>
      <c r="Y270" s="18">
        <f t="shared" si="232"/>
        <v>-0.16245377169211567</v>
      </c>
      <c r="Z270" s="32" t="str">
        <f t="shared" si="218"/>
        <v>0.999725880450964+0.0394612538078287i</v>
      </c>
      <c r="AA270" s="18">
        <f t="shared" si="233"/>
        <v>1.0005043860951039</v>
      </c>
      <c r="AB270" s="18">
        <f t="shared" si="234"/>
        <v>3.9451593266605724E-2</v>
      </c>
      <c r="AC270" s="32" t="str">
        <f>IMDIV(IMSUM(COMPLEX(0,2*PI()*O270*Constants!$B$61*Constants!$B$62),COMPLEX(1,0)),IMSUM(COMPLEX(0,2*PI()*O270*Constants!$B$61*Constants!$B$62),COMPLEX(2,0)))</f>
        <v>0.500864248046473+0.0207696196053422i</v>
      </c>
      <c r="AD270" s="18">
        <f t="shared" si="235"/>
        <v>0.50129469583241104</v>
      </c>
      <c r="AE270" s="18">
        <f t="shared" si="236"/>
        <v>4.1443818546618785E-2</v>
      </c>
      <c r="AF270" s="66" t="str">
        <f t="shared" si="237"/>
        <v>-0.0928654565231799-1.15119593625001i</v>
      </c>
      <c r="AG270" s="64">
        <f t="shared" si="238"/>
        <v>1.2511548345955017</v>
      </c>
      <c r="AH270" s="61">
        <f t="shared" si="239"/>
        <v>-94.611988128031967</v>
      </c>
      <c r="AI270" s="50" t="str">
        <f t="shared" si="219"/>
        <v>107.538871525172</v>
      </c>
      <c r="AJ270" s="50" t="str">
        <f t="shared" si="220"/>
        <v>1+15.5028605931403i</v>
      </c>
      <c r="AK270" s="50">
        <f t="shared" si="240"/>
        <v>15.53507922639413</v>
      </c>
      <c r="AL270" s="50">
        <f t="shared" si="241"/>
        <v>1.5063813425713743</v>
      </c>
      <c r="AM270" s="50" t="str">
        <f t="shared" si="221"/>
        <v>1+0.0187250237752439i</v>
      </c>
      <c r="AN270" s="50">
        <f t="shared" si="242"/>
        <v>1.0001752978930161</v>
      </c>
      <c r="AO270" s="50">
        <f t="shared" si="243"/>
        <v>1.8722835738923325E-2</v>
      </c>
      <c r="AP270" s="50" t="str">
        <f t="shared" si="222"/>
        <v>1-0.0538376888932779i</v>
      </c>
      <c r="AQ270" s="50">
        <f t="shared" si="244"/>
        <v>1.0014481997314535</v>
      </c>
      <c r="AR270" s="50">
        <f t="shared" si="245"/>
        <v>-5.3785763045536887E-2</v>
      </c>
      <c r="AS270" s="59" t="str">
        <f t="shared" si="246"/>
        <v>0.203485184995486-6.93057883878903i</v>
      </c>
      <c r="AT270" s="50">
        <f t="shared" si="247"/>
        <v>16.819132336240038</v>
      </c>
      <c r="AU270" s="61">
        <f t="shared" si="248"/>
        <v>-88.318251018633362</v>
      </c>
      <c r="AV270" s="32" t="str">
        <f t="shared" si="223"/>
        <v>-0.0000333333333333333</v>
      </c>
      <c r="AW270" s="32" t="str">
        <f t="shared" si="224"/>
        <v>0.000998667934679672i</v>
      </c>
      <c r="AX270" s="32">
        <f t="shared" si="249"/>
        <v>9.9866793467967194E-4</v>
      </c>
      <c r="AY270" s="32">
        <f t="shared" si="250"/>
        <v>1.5707963267948966</v>
      </c>
      <c r="AZ270" s="32" t="str">
        <f t="shared" si="225"/>
        <v>1+0.407442646961326i</v>
      </c>
      <c r="BA270" s="32">
        <f t="shared" si="251"/>
        <v>1.0798192027199978</v>
      </c>
      <c r="BB270" s="32">
        <f t="shared" si="252"/>
        <v>0.38690594045865551</v>
      </c>
      <c r="BC270" s="32" t="str">
        <f t="shared" si="226"/>
        <v>1+19.5572470541437i</v>
      </c>
      <c r="BD270" s="32">
        <f t="shared" si="253"/>
        <v>19.5827963359887</v>
      </c>
      <c r="BE270" s="32">
        <f t="shared" si="254"/>
        <v>1.5197088772172578</v>
      </c>
      <c r="BF270" s="59" t="str">
        <f t="shared" si="255"/>
        <v>-0.548175838147496+0.25672800923123i</v>
      </c>
      <c r="BG270" s="50">
        <f t="shared" si="256"/>
        <v>-4.3603739924824163</v>
      </c>
      <c r="BH270" s="61">
        <f t="shared" si="257"/>
        <v>154.90482729629298</v>
      </c>
      <c r="BI270" s="59" t="str">
        <f t="shared" si="258"/>
        <v>0.346450840413091+0.607216633446295i</v>
      </c>
      <c r="BJ270" s="64">
        <f t="shared" si="259"/>
        <v>-3.1092191578869204</v>
      </c>
      <c r="BK270" s="61">
        <f t="shared" si="260"/>
        <v>60.29283916826099</v>
      </c>
      <c r="BL270" s="59" t="str">
        <f t="shared" si="265"/>
        <v>1.6677280462669+3.85141621025242i</v>
      </c>
      <c r="BM270" s="64">
        <f t="shared" si="261"/>
        <v>12.458758343757628</v>
      </c>
      <c r="BN270" s="61">
        <f t="shared" si="266"/>
        <v>66.586576277659617</v>
      </c>
      <c r="BO270" s="50">
        <f t="shared" si="262"/>
        <v>-3.1092191578869204</v>
      </c>
      <c r="BP270" s="61">
        <f t="shared" si="263"/>
        <v>60.29283916826099</v>
      </c>
    </row>
    <row r="271" spans="14:68" x14ac:dyDescent="0.25">
      <c r="N271" s="11">
        <v>53</v>
      </c>
      <c r="O271" s="51">
        <f t="shared" si="264"/>
        <v>3388.4415613920314</v>
      </c>
      <c r="P271" s="49" t="str">
        <f t="shared" si="214"/>
        <v>37.1583961085025</v>
      </c>
      <c r="Q271" s="18" t="str">
        <f t="shared" si="215"/>
        <v>1+16.6874747996777i</v>
      </c>
      <c r="R271" s="18">
        <f t="shared" si="227"/>
        <v>16.717410540806799</v>
      </c>
      <c r="S271" s="18">
        <f t="shared" si="228"/>
        <v>1.5109427195081104</v>
      </c>
      <c r="T271" s="18" t="str">
        <f t="shared" si="216"/>
        <v>1+0.0191611856094976i</v>
      </c>
      <c r="U271" s="18">
        <f t="shared" si="229"/>
        <v>1.000183558670088</v>
      </c>
      <c r="V271" s="18">
        <f t="shared" si="230"/>
        <v>1.9158841109577787E-2</v>
      </c>
      <c r="W271" s="32" t="str">
        <f t="shared" si="217"/>
        <v>1-0.167715817328501i</v>
      </c>
      <c r="X271" s="18">
        <f t="shared" si="231"/>
        <v>1.0139667624642177</v>
      </c>
      <c r="Y271" s="18">
        <f t="shared" si="232"/>
        <v>-0.16616929865784094</v>
      </c>
      <c r="Z271" s="32" t="str">
        <f t="shared" si="218"/>
        <v>0.999712961594626+0.0403804244881634i</v>
      </c>
      <c r="AA271" s="18">
        <f t="shared" si="233"/>
        <v>1.0005281526584557</v>
      </c>
      <c r="AB271" s="18">
        <f t="shared" si="234"/>
        <v>4.0370073296927225E-2</v>
      </c>
      <c r="AC271" s="32" t="str">
        <f>IMDIV(IMSUM(COMPLEX(0,2*PI()*O271*Constants!$B$61*Constants!$B$62),COMPLEX(1,0)),IMSUM(COMPLEX(0,2*PI()*O271*Constants!$B$61*Constants!$B$62),COMPLEX(2,0)))</f>
        <v>0.500904905087123+0.0212516750009232i</v>
      </c>
      <c r="AD271" s="18">
        <f t="shared" si="235"/>
        <v>0.50135552019568375</v>
      </c>
      <c r="AE271" s="18">
        <f t="shared" si="236"/>
        <v>4.2401137298118355E-2</v>
      </c>
      <c r="AF271" s="66" t="str">
        <f t="shared" si="237"/>
        <v>-0.0960382788078929-1.12546613227344i</v>
      </c>
      <c r="AG271" s="64">
        <f t="shared" si="238"/>
        <v>1.0581574082719656</v>
      </c>
      <c r="AH271" s="61">
        <f t="shared" si="239"/>
        <v>-94.877348280447109</v>
      </c>
      <c r="AI271" s="50" t="str">
        <f t="shared" si="219"/>
        <v>107.538871525172</v>
      </c>
      <c r="AJ271" s="50" t="str">
        <f t="shared" si="220"/>
        <v>1+15.8639686052659i</v>
      </c>
      <c r="AK271" s="50">
        <f t="shared" si="240"/>
        <v>15.895455322476989</v>
      </c>
      <c r="AL271" s="50">
        <f t="shared" si="241"/>
        <v>1.5078436909035697</v>
      </c>
      <c r="AM271" s="50" t="str">
        <f t="shared" si="221"/>
        <v>1+0.0191611856094976i</v>
      </c>
      <c r="AN271" s="50">
        <f t="shared" si="242"/>
        <v>1.000183558670088</v>
      </c>
      <c r="AO271" s="50">
        <f t="shared" si="243"/>
        <v>1.9158841109577787E-2</v>
      </c>
      <c r="AP271" s="50" t="str">
        <f t="shared" si="222"/>
        <v>1-0.0550917297650827i</v>
      </c>
      <c r="AQ271" s="50">
        <f t="shared" si="244"/>
        <v>1.0015163996103653</v>
      </c>
      <c r="AR271" s="50">
        <f t="shared" si="245"/>
        <v>-5.5036094765703224E-2</v>
      </c>
      <c r="AS271" s="59" t="str">
        <f t="shared" si="246"/>
        <v>0.183464402915941-6.77440369981933i</v>
      </c>
      <c r="AT271" s="50">
        <f t="shared" si="247"/>
        <v>16.620605569638553</v>
      </c>
      <c r="AU271" s="61">
        <f t="shared" si="248"/>
        <v>-88.44869486921948</v>
      </c>
      <c r="AV271" s="32" t="str">
        <f t="shared" si="223"/>
        <v>-0.0000333333333333333</v>
      </c>
      <c r="AW271" s="32" t="str">
        <f t="shared" si="224"/>
        <v>0.0010219298991732i</v>
      </c>
      <c r="AX271" s="32">
        <f t="shared" si="249"/>
        <v>1.0219298991732001E-3</v>
      </c>
      <c r="AY271" s="32">
        <f t="shared" si="250"/>
        <v>1.5707963267948966</v>
      </c>
      <c r="AZ271" s="32" t="str">
        <f t="shared" si="225"/>
        <v>1+0.416933205391846i</v>
      </c>
      <c r="BA271" s="32">
        <f t="shared" si="251"/>
        <v>1.0834358761635685</v>
      </c>
      <c r="BB271" s="32">
        <f t="shared" si="252"/>
        <v>0.39501820812635602</v>
      </c>
      <c r="BC271" s="32" t="str">
        <f t="shared" si="226"/>
        <v>1+20.0127938588086i</v>
      </c>
      <c r="BD271" s="32">
        <f t="shared" si="253"/>
        <v>20.037762301094581</v>
      </c>
      <c r="BE271" s="32">
        <f t="shared" si="254"/>
        <v>1.5208698156123015</v>
      </c>
      <c r="BF271" s="59" t="str">
        <f t="shared" si="255"/>
        <v>-0.544522158266756+0.259647392222653i</v>
      </c>
      <c r="BG271" s="50">
        <f t="shared" si="256"/>
        <v>-4.3899270483086568</v>
      </c>
      <c r="BH271" s="61">
        <f t="shared" si="257"/>
        <v>154.50654546696407</v>
      </c>
      <c r="BI271" s="59" t="str">
        <f t="shared" si="258"/>
        <v>0.344519317132412+0.58790515875565i</v>
      </c>
      <c r="BJ271" s="64">
        <f t="shared" si="259"/>
        <v>-3.3317696400366978</v>
      </c>
      <c r="BK271" s="61">
        <f t="shared" si="260"/>
        <v>59.629197186516961</v>
      </c>
      <c r="BL271" s="59" t="str">
        <f t="shared" si="265"/>
        <v>1.65905582188067+3.73644897737873i</v>
      </c>
      <c r="BM271" s="64">
        <f t="shared" si="261"/>
        <v>12.230678521329896</v>
      </c>
      <c r="BN271" s="61">
        <f t="shared" si="266"/>
        <v>66.057850597744618</v>
      </c>
      <c r="BO271" s="50">
        <f t="shared" si="262"/>
        <v>-3.3317696400366978</v>
      </c>
      <c r="BP271" s="61">
        <f t="shared" si="263"/>
        <v>59.629197186516961</v>
      </c>
    </row>
    <row r="272" spans="14:68" x14ac:dyDescent="0.25">
      <c r="N272" s="11">
        <v>54</v>
      </c>
      <c r="O272" s="51">
        <f t="shared" si="264"/>
        <v>3467.3685045253224</v>
      </c>
      <c r="P272" s="49" t="str">
        <f t="shared" si="214"/>
        <v>37.1583961085025</v>
      </c>
      <c r="Q272" s="18" t="str">
        <f t="shared" si="215"/>
        <v>1+17.0761760213719i</v>
      </c>
      <c r="R272" s="18">
        <f t="shared" si="227"/>
        <v>17.105431520802878</v>
      </c>
      <c r="S272" s="18">
        <f t="shared" si="228"/>
        <v>1.5123020122466073</v>
      </c>
      <c r="T272" s="18" t="str">
        <f t="shared" si="216"/>
        <v>1+0.0196075069579897i</v>
      </c>
      <c r="U272" s="18">
        <f t="shared" si="229"/>
        <v>1.0001922086924631</v>
      </c>
      <c r="V272" s="18">
        <f t="shared" si="230"/>
        <v>1.9604994807137604E-2</v>
      </c>
      <c r="W272" s="32" t="str">
        <f t="shared" si="217"/>
        <v>1-0.171622420566894i</v>
      </c>
      <c r="X272" s="18">
        <f t="shared" si="231"/>
        <v>1.0146202517401472</v>
      </c>
      <c r="Y272" s="18">
        <f t="shared" si="232"/>
        <v>-0.16996658287071706</v>
      </c>
      <c r="Z272" s="32" t="str">
        <f t="shared" si="218"/>
        <v>0.999699433891346+0.0413210054040598i</v>
      </c>
      <c r="AA272" s="18">
        <f t="shared" si="233"/>
        <v>1.000553038879139</v>
      </c>
      <c r="AB272" s="18">
        <f t="shared" si="234"/>
        <v>4.1309914200339616E-2</v>
      </c>
      <c r="AC272" s="32" t="str">
        <f>IMDIV(IMSUM(COMPLEX(0,2*PI()*O272*Constants!$B$61*Constants!$B$62),COMPLEX(1,0)),IMSUM(COMPLEX(0,2*PI()*O272*Constants!$B$61*Constants!$B$62),COMPLEX(2,0)))</f>
        <v>0.50094747113666+0.0217448354046451i</v>
      </c>
      <c r="AD272" s="18">
        <f t="shared" si="235"/>
        <v>0.50141919259736156</v>
      </c>
      <c r="AE272" s="18">
        <f t="shared" si="236"/>
        <v>4.338018423500338E-2</v>
      </c>
      <c r="AF272" s="66" t="str">
        <f t="shared" si="237"/>
        <v>-0.0990715114685174-1.1003160084387i</v>
      </c>
      <c r="AG272" s="64">
        <f t="shared" si="238"/>
        <v>0.8654151386994442</v>
      </c>
      <c r="AH272" s="61">
        <f t="shared" si="239"/>
        <v>-95.144989312361417</v>
      </c>
      <c r="AI272" s="50" t="str">
        <f t="shared" si="219"/>
        <v>107.538871525172</v>
      </c>
      <c r="AJ272" s="50" t="str">
        <f t="shared" si="220"/>
        <v>1+16.2334879035305i</v>
      </c>
      <c r="AK272" s="50">
        <f t="shared" si="240"/>
        <v>16.264259267303601</v>
      </c>
      <c r="AL272" s="50">
        <f t="shared" si="241"/>
        <v>1.5092730126815008</v>
      </c>
      <c r="AM272" s="50" t="str">
        <f t="shared" si="221"/>
        <v>1+0.0196075069579897i</v>
      </c>
      <c r="AN272" s="50">
        <f t="shared" si="242"/>
        <v>1.0001922086924631</v>
      </c>
      <c r="AO272" s="50">
        <f t="shared" si="243"/>
        <v>1.9604994807137604E-2</v>
      </c>
      <c r="AP272" s="50" t="str">
        <f t="shared" si="222"/>
        <v>1-0.0563749810012341i</v>
      </c>
      <c r="AQ272" s="50">
        <f t="shared" si="244"/>
        <v>1.0015878086732533</v>
      </c>
      <c r="AR272" s="50">
        <f t="shared" si="245"/>
        <v>-5.6315372128303051E-2</v>
      </c>
      <c r="AS272" s="59" t="str">
        <f t="shared" si="246"/>
        <v>0.164337731110854-6.62170723752326i</v>
      </c>
      <c r="AT272" s="50">
        <f t="shared" si="247"/>
        <v>16.422073658236833</v>
      </c>
      <c r="AU272" s="61">
        <f t="shared" si="248"/>
        <v>-88.578323444480333</v>
      </c>
      <c r="AV272" s="32" t="str">
        <f t="shared" si="223"/>
        <v>-0.0000333333333333333</v>
      </c>
      <c r="AW272" s="32" t="str">
        <f t="shared" si="224"/>
        <v>0.00104573370442612i</v>
      </c>
      <c r="AX272" s="32">
        <f t="shared" si="249"/>
        <v>1.0457337044261199E-3</v>
      </c>
      <c r="AY272" s="32">
        <f t="shared" si="250"/>
        <v>1.5707963267948966</v>
      </c>
      <c r="AZ272" s="32" t="str">
        <f t="shared" si="225"/>
        <v>1+0.426644827326629i</v>
      </c>
      <c r="BA272" s="32">
        <f t="shared" si="251"/>
        <v>1.0872101032848107</v>
      </c>
      <c r="BB272" s="32">
        <f t="shared" si="252"/>
        <v>0.40326300566888734</v>
      </c>
      <c r="BC272" s="32" t="str">
        <f t="shared" si="226"/>
        <v>1+20.4789517116782i</v>
      </c>
      <c r="BD272" s="32">
        <f t="shared" si="253"/>
        <v>20.50335248707507</v>
      </c>
      <c r="BE272" s="32">
        <f t="shared" si="254"/>
        <v>1.522004457988587</v>
      </c>
      <c r="BF272" s="59" t="str">
        <f t="shared" si="255"/>
        <v>-0.540748125840043+0.262582937287011i</v>
      </c>
      <c r="BG272" s="50">
        <f t="shared" si="256"/>
        <v>-4.4206192403998816</v>
      </c>
      <c r="BH272" s="61">
        <f t="shared" si="257"/>
        <v>154.09916358425502</v>
      </c>
      <c r="BI272" s="59" t="str">
        <f t="shared" si="258"/>
        <v>0.342496943590495+0.568979330912157i</v>
      </c>
      <c r="BJ272" s="64">
        <f t="shared" si="259"/>
        <v>-3.5552041017004306</v>
      </c>
      <c r="BK272" s="61">
        <f t="shared" si="260"/>
        <v>58.954174271893585</v>
      </c>
      <c r="BL272" s="59" t="str">
        <f t="shared" si="265"/>
        <v>1.64988201618052+3.62382806269432i</v>
      </c>
      <c r="BM272" s="64">
        <f t="shared" si="261"/>
        <v>12.001454417836948</v>
      </c>
      <c r="BN272" s="61">
        <f t="shared" si="266"/>
        <v>65.520840139774648</v>
      </c>
      <c r="BO272" s="50">
        <f t="shared" si="262"/>
        <v>-3.5552041017004306</v>
      </c>
      <c r="BP272" s="61">
        <f t="shared" si="263"/>
        <v>58.954174271893585</v>
      </c>
    </row>
    <row r="273" spans="14:68" x14ac:dyDescent="0.25">
      <c r="N273" s="11">
        <v>55</v>
      </c>
      <c r="O273" s="51">
        <f t="shared" si="264"/>
        <v>3548.1338923357539</v>
      </c>
      <c r="P273" s="49" t="str">
        <f t="shared" si="214"/>
        <v>37.1583961085025</v>
      </c>
      <c r="Q273" s="18" t="str">
        <f t="shared" si="215"/>
        <v>1+17.4739312576224i</v>
      </c>
      <c r="R273" s="18">
        <f t="shared" si="227"/>
        <v>17.502521921029356</v>
      </c>
      <c r="S273" s="18">
        <f t="shared" si="228"/>
        <v>1.5136305728456312</v>
      </c>
      <c r="T273" s="18" t="str">
        <f t="shared" si="216"/>
        <v>1+0.0200642244662069i</v>
      </c>
      <c r="U273" s="18">
        <f t="shared" si="229"/>
        <v>1.0002012662976538</v>
      </c>
      <c r="V273" s="18">
        <f t="shared" si="230"/>
        <v>2.0061532677324981E-2</v>
      </c>
      <c r="W273" s="32" t="str">
        <f t="shared" si="217"/>
        <v>1-0.175620020284363i</v>
      </c>
      <c r="X273" s="18">
        <f t="shared" si="231"/>
        <v>1.0153040882044551</v>
      </c>
      <c r="Y273" s="18">
        <f t="shared" si="232"/>
        <v>-0.17384719944556307</v>
      </c>
      <c r="Z273" s="32" t="str">
        <f t="shared" si="218"/>
        <v>0.999685268647051+0.0422834952639693i</v>
      </c>
      <c r="AA273" s="18">
        <f t="shared" si="233"/>
        <v>1.0005790974838844</v>
      </c>
      <c r="AB273" s="18">
        <f t="shared" si="234"/>
        <v>4.227161115886726E-2</v>
      </c>
      <c r="AC273" s="32" t="str">
        <f>IMDIV(IMSUM(COMPLEX(0,2*PI()*O273*Constants!$B$61*Constants!$B$62),COMPLEX(1,0)),IMSUM(COMPLEX(0,2*PI()*O273*Constants!$B$61*Constants!$B$62),COMPLEX(2,0)))</f>
        <v>0.500992035481051+0.0222493506900738i</v>
      </c>
      <c r="AD273" s="18">
        <f t="shared" si="235"/>
        <v>0.50148584548477193</v>
      </c>
      <c r="AE273" s="18">
        <f t="shared" si="236"/>
        <v>4.4381425120397826E-2</v>
      </c>
      <c r="AF273" s="66" t="str">
        <f t="shared" si="237"/>
        <v>-0.101971453968007-1.07573334326277i</v>
      </c>
      <c r="AG273" s="64">
        <f t="shared" si="238"/>
        <v>0.67294236299916876</v>
      </c>
      <c r="AH273" s="61">
        <f t="shared" si="239"/>
        <v>-95.415029785895641</v>
      </c>
      <c r="AI273" s="50" t="str">
        <f t="shared" si="219"/>
        <v>107.538871525172</v>
      </c>
      <c r="AJ273" s="50" t="str">
        <f t="shared" si="220"/>
        <v>1+16.6116144119571i</v>
      </c>
      <c r="AK273" s="50">
        <f t="shared" si="240"/>
        <v>16.641686614389204</v>
      </c>
      <c r="AL273" s="50">
        <f t="shared" si="241"/>
        <v>1.5106700423769253</v>
      </c>
      <c r="AM273" s="50" t="str">
        <f t="shared" si="221"/>
        <v>1+0.0200642244662069i</v>
      </c>
      <c r="AN273" s="50">
        <f t="shared" si="242"/>
        <v>1.0002012662976538</v>
      </c>
      <c r="AO273" s="50">
        <f t="shared" si="243"/>
        <v>2.0061532677324981E-2</v>
      </c>
      <c r="AP273" s="50" t="str">
        <f t="shared" si="222"/>
        <v>1-0.0576881229985233i</v>
      </c>
      <c r="AQ273" s="50">
        <f t="shared" si="244"/>
        <v>1.0016625776852666</v>
      </c>
      <c r="AR273" s="50">
        <f t="shared" si="245"/>
        <v>-5.7624256664825353E-2</v>
      </c>
      <c r="AS273" s="59" t="str">
        <f t="shared" si="246"/>
        <v>0.146065538166229-6.47241598943529i</v>
      </c>
      <c r="AT273" s="50">
        <f t="shared" si="247"/>
        <v>16.223539684667685</v>
      </c>
      <c r="AU273" s="61">
        <f t="shared" si="248"/>
        <v>-88.707203216545636</v>
      </c>
      <c r="AV273" s="32" t="str">
        <f t="shared" si="223"/>
        <v>-0.0000333333333333333</v>
      </c>
      <c r="AW273" s="32" t="str">
        <f t="shared" si="224"/>
        <v>0.00107009197153104i</v>
      </c>
      <c r="AX273" s="32">
        <f t="shared" si="249"/>
        <v>1.0700919715310401E-3</v>
      </c>
      <c r="AY273" s="32">
        <f t="shared" si="250"/>
        <v>1.5707963267948966</v>
      </c>
      <c r="AZ273" s="32" t="str">
        <f t="shared" si="225"/>
        <v>1+0.436582661996169i</v>
      </c>
      <c r="BA273" s="32">
        <f t="shared" si="251"/>
        <v>1.0911482120938756</v>
      </c>
      <c r="BB273" s="32">
        <f t="shared" si="252"/>
        <v>0.41164021990378485</v>
      </c>
      <c r="BC273" s="32" t="str">
        <f t="shared" si="226"/>
        <v>1+20.9559677758162i</v>
      </c>
      <c r="BD273" s="32">
        <f t="shared" si="253"/>
        <v>20.979813760399473</v>
      </c>
      <c r="BE273" s="32">
        <f t="shared" si="254"/>
        <v>1.5231133942558523</v>
      </c>
      <c r="BF273" s="59" t="str">
        <f t="shared" si="255"/>
        <v>-0.536851896060543+0.265530200368452i</v>
      </c>
      <c r="BG273" s="50">
        <f t="shared" si="256"/>
        <v>-4.4524895446518507</v>
      </c>
      <c r="BH273" s="61">
        <f t="shared" si="257"/>
        <v>153.68272193238181</v>
      </c>
      <c r="BI273" s="59" t="str">
        <f t="shared" si="258"/>
        <v>0.340383258586363+0.550432984382178i</v>
      </c>
      <c r="BJ273" s="64">
        <f t="shared" si="259"/>
        <v>-3.7795471816526769</v>
      </c>
      <c r="BK273" s="61">
        <f t="shared" si="260"/>
        <v>58.267692146486191</v>
      </c>
      <c r="BL273" s="59" t="str">
        <f t="shared" si="265"/>
        <v>1.64020635342908+3.51351360763712i</v>
      </c>
      <c r="BM273" s="64">
        <f t="shared" si="261"/>
        <v>11.771050140015845</v>
      </c>
      <c r="BN273" s="61">
        <f t="shared" si="266"/>
        <v>64.97551871583623</v>
      </c>
      <c r="BO273" s="50">
        <f t="shared" si="262"/>
        <v>-3.7795471816526769</v>
      </c>
      <c r="BP273" s="61">
        <f t="shared" si="263"/>
        <v>58.267692146486191</v>
      </c>
    </row>
    <row r="274" spans="14:68" x14ac:dyDescent="0.25">
      <c r="N274" s="11">
        <v>56</v>
      </c>
      <c r="O274" s="51">
        <f t="shared" si="264"/>
        <v>3630.7805477010188</v>
      </c>
      <c r="P274" s="49" t="str">
        <f t="shared" si="214"/>
        <v>37.1583961085025</v>
      </c>
      <c r="Q274" s="18" t="str">
        <f t="shared" si="215"/>
        <v>1+17.8809514035207i</v>
      </c>
      <c r="R274" s="18">
        <f t="shared" si="227"/>
        <v>17.908892291123674</v>
      </c>
      <c r="S274" s="18">
        <f t="shared" si="228"/>
        <v>1.5149290869549326</v>
      </c>
      <c r="T274" s="18" t="str">
        <f t="shared" si="216"/>
        <v>1+0.0205315802918177i</v>
      </c>
      <c r="U274" s="18">
        <f t="shared" si="229"/>
        <v>1.0002107506867137</v>
      </c>
      <c r="V274" s="18">
        <f t="shared" si="230"/>
        <v>2.0528696020887499E-2</v>
      </c>
      <c r="W274" s="32" t="str">
        <f t="shared" si="217"/>
        <v>1-0.179710736061193i</v>
      </c>
      <c r="X274" s="18">
        <f t="shared" si="231"/>
        <v>1.0160196595812778</v>
      </c>
      <c r="Y274" s="18">
        <f t="shared" si="232"/>
        <v>-0.17781273819191545</v>
      </c>
      <c r="Z274" s="32" t="str">
        <f t="shared" si="218"/>
        <v>0.999670435815361+0.0432684043927564i</v>
      </c>
      <c r="AA274" s="18">
        <f t="shared" si="233"/>
        <v>1.0006063836804004</v>
      </c>
      <c r="AB274" s="18">
        <f t="shared" si="234"/>
        <v>4.325567071922036E-2</v>
      </c>
      <c r="AC274" s="32" t="str">
        <f>IMDIV(IMSUM(COMPLEX(0,2*PI()*O274*Constants!$B$61*Constants!$B$62),COMPLEX(1,0)),IMSUM(COMPLEX(0,2*PI()*O274*Constants!$B$61*Constants!$B$62),COMPLEX(2,0)))</f>
        <v>0.501038691548598+0.022765475926623i</v>
      </c>
      <c r="AD274" s="18">
        <f t="shared" si="235"/>
        <v>0.50155561737747167</v>
      </c>
      <c r="AE274" s="18">
        <f t="shared" si="236"/>
        <v>4.5405333736113364E-2</v>
      </c>
      <c r="AF274" s="66" t="str">
        <f t="shared" si="237"/>
        <v>-0.10474413462901-1.05170614141053i</v>
      </c>
      <c r="AG274" s="64">
        <f t="shared" si="238"/>
        <v>0.48075389458881257</v>
      </c>
      <c r="AH274" s="61">
        <f t="shared" si="239"/>
        <v>-95.687588127039191</v>
      </c>
      <c r="AI274" s="50" t="str">
        <f t="shared" si="219"/>
        <v>107.538871525172</v>
      </c>
      <c r="AJ274" s="50" t="str">
        <f t="shared" si="220"/>
        <v>1+16.9985486182257i</v>
      </c>
      <c r="AK274" s="50">
        <f t="shared" si="240"/>
        <v>17.027937488908719</v>
      </c>
      <c r="AL274" s="50">
        <f t="shared" si="241"/>
        <v>1.5120354988885885</v>
      </c>
      <c r="AM274" s="50" t="str">
        <f t="shared" si="221"/>
        <v>1+0.0205315802918177i</v>
      </c>
      <c r="AN274" s="50">
        <f t="shared" si="242"/>
        <v>1.0002107506867137</v>
      </c>
      <c r="AO274" s="50">
        <f t="shared" si="243"/>
        <v>2.0528696020887499E-2</v>
      </c>
      <c r="AP274" s="50" t="str">
        <f t="shared" si="222"/>
        <v>1-0.0590318520022193i</v>
      </c>
      <c r="AQ274" s="50">
        <f t="shared" si="244"/>
        <v>1.001740864470853</v>
      </c>
      <c r="AR274" s="50">
        <f t="shared" si="245"/>
        <v>-5.8963424414199786E-2</v>
      </c>
      <c r="AS274" s="59" t="str">
        <f t="shared" si="246"/>
        <v>0.128609923123467-6.32645780414961i</v>
      </c>
      <c r="AT274" s="50">
        <f t="shared" si="247"/>
        <v>16.025006727666401</v>
      </c>
      <c r="AU274" s="61">
        <f t="shared" si="248"/>
        <v>-88.83540028394242</v>
      </c>
      <c r="AV274" s="32" t="str">
        <f t="shared" si="223"/>
        <v>-0.0000333333333333333</v>
      </c>
      <c r="AW274" s="32" t="str">
        <f t="shared" si="224"/>
        <v>0.00109501761556361i</v>
      </c>
      <c r="AX274" s="32">
        <f t="shared" si="249"/>
        <v>1.0950176155636101E-3</v>
      </c>
      <c r="AY274" s="32">
        <f t="shared" si="250"/>
        <v>1.5707963267948966</v>
      </c>
      <c r="AZ274" s="32" t="str">
        <f t="shared" si="225"/>
        <v>1+0.446751978571959i</v>
      </c>
      <c r="BA274" s="32">
        <f t="shared" si="251"/>
        <v>1.0952567417541696</v>
      </c>
      <c r="BB274" s="32">
        <f t="shared" si="252"/>
        <v>0.42014958833987681</v>
      </c>
      <c r="BC274" s="32" t="str">
        <f t="shared" si="226"/>
        <v>1+21.444094971454i</v>
      </c>
      <c r="BD274" s="32">
        <f t="shared" si="253"/>
        <v>21.467398751239955</v>
      </c>
      <c r="BE274" s="32">
        <f t="shared" si="254"/>
        <v>1.5241972014709619</v>
      </c>
      <c r="BF274" s="59" t="str">
        <f t="shared" si="255"/>
        <v>-0.532831770197179+0.268484558174773i</v>
      </c>
      <c r="BG274" s="50">
        <f t="shared" si="256"/>
        <v>-4.4855774460330036</v>
      </c>
      <c r="BH274" s="61">
        <f t="shared" si="257"/>
        <v>153.25726861390345</v>
      </c>
      <c r="BI274" s="59" t="str">
        <f t="shared" si="258"/>
        <v>0.338177861378449+0.532260262347749i</v>
      </c>
      <c r="BJ274" s="64">
        <f t="shared" si="259"/>
        <v>-4.0048235514441828</v>
      </c>
      <c r="BK274" s="61">
        <f t="shared" si="260"/>
        <v>57.569680486864264</v>
      </c>
      <c r="BL274" s="59" t="str">
        <f t="shared" si="265"/>
        <v>1.63002877535565+3.40546748924949i</v>
      </c>
      <c r="BM274" s="64">
        <f t="shared" si="261"/>
        <v>11.539429281633392</v>
      </c>
      <c r="BN274" s="61">
        <f t="shared" si="266"/>
        <v>64.4218683299611</v>
      </c>
      <c r="BO274" s="50">
        <f t="shared" si="262"/>
        <v>-4.0048235514441828</v>
      </c>
      <c r="BP274" s="61">
        <f t="shared" si="263"/>
        <v>57.569680486864264</v>
      </c>
    </row>
    <row r="275" spans="14:68" x14ac:dyDescent="0.25">
      <c r="N275" s="11">
        <v>57</v>
      </c>
      <c r="O275" s="51">
        <f t="shared" si="264"/>
        <v>3715.352290971724</v>
      </c>
      <c r="P275" s="49" t="str">
        <f t="shared" ref="P275:P338" si="267">COMPLEX(Adc,0)</f>
        <v>37.1583961085025</v>
      </c>
      <c r="Q275" s="18" t="str">
        <f t="shared" ref="Q275:Q338" si="268">IMSUM(COMPLEX(1,0),IMDIV(COMPLEX(0,2*PI()*O275),COMPLEX(wp_lf,0)))</f>
        <v>1+18.2974522665354i</v>
      </c>
      <c r="R275" s="18">
        <f t="shared" si="227"/>
        <v>18.324758100617359</v>
      </c>
      <c r="S275" s="18">
        <f t="shared" si="228"/>
        <v>1.5161982255381625</v>
      </c>
      <c r="T275" s="18" t="str">
        <f t="shared" ref="T275:T338" si="269">IMSUM(COMPLEX(1,0),IMDIV(COMPLEX(0,2*PI()*O275),COMPLEX(wz_esr,0)))</f>
        <v>1+0.0210098222330667i</v>
      </c>
      <c r="U275" s="18">
        <f t="shared" si="229"/>
        <v>1.0002206819648676</v>
      </c>
      <c r="V275" s="18">
        <f t="shared" si="230"/>
        <v>2.1006731717909771E-2</v>
      </c>
      <c r="W275" s="32" t="str">
        <f t="shared" ref="W275:W338" si="270">IMSUB(COMPLEX(1,0),IMDIV(COMPLEX(0,2*PI()*O275),COMPLEX(wz_rhp,0)))</f>
        <v>1-0.183896736849035i</v>
      </c>
      <c r="X275" s="18">
        <f t="shared" si="231"/>
        <v>1.0167684150403784</v>
      </c>
      <c r="Y275" s="18">
        <f t="shared" si="232"/>
        <v>-0.18186480256299922</v>
      </c>
      <c r="Z275" s="32" t="str">
        <f t="shared" ref="Z275:Z338" si="271">IMSUM(COMPLEX(1,0),IMDIV(COMPLEX(0,2*PI()*O275),COMPLEX(Q*(wsl/2),0)),IMDIV(IMPOWER(COMPLEX(0,2*PI()*O275),2),IMPOWER(COMPLEX(wsl/2,0),2)))</f>
        <v>0.999654903933849+0.0442762550022774i</v>
      </c>
      <c r="AA275" s="18">
        <f t="shared" si="233"/>
        <v>1.00063495527391</v>
      </c>
      <c r="AB275" s="18">
        <f t="shared" si="234"/>
        <v>4.4262611045429175E-2</v>
      </c>
      <c r="AC275" s="32" t="str">
        <f>IMDIV(IMSUM(COMPLEX(0,2*PI()*O275*Constants!$B$61*Constants!$B$62),COMPLEX(1,0)),IMSUM(COMPLEX(0,2*PI()*O275*Constants!$B$61*Constants!$B$62),COMPLEX(2,0)))</f>
        <v>0.50108753709887+0.0232934714564759i</v>
      </c>
      <c r="AD275" s="18">
        <f t="shared" si="235"/>
        <v>0.50162865313726357</v>
      </c>
      <c r="AE275" s="18">
        <f t="shared" si="236"/>
        <v>4.6452391873690164E-2</v>
      </c>
      <c r="AF275" s="66" t="str">
        <f t="shared" si="237"/>
        <v>-0.107395322395288-1.02822263214573i</v>
      </c>
      <c r="AG275" s="64">
        <f t="shared" si="238"/>
        <v>0.28886504570075217</v>
      </c>
      <c r="AH275" s="61">
        <f t="shared" si="239"/>
        <v>-95.962782589083204</v>
      </c>
      <c r="AI275" s="50" t="str">
        <f t="shared" ref="AI275:AI338" si="272">COMPLEX($B$72,0)</f>
        <v>107.538871525172</v>
      </c>
      <c r="AJ275" s="50" t="str">
        <f t="shared" ref="AJ275:AJ338" si="273">IMSUM(COMPLEX(1,0),IMDIV(COMPLEX(0,2*PI()*O275),COMPLEX(wp_lf_DCM,0)))</f>
        <v>1+17.3944956799741i</v>
      </c>
      <c r="AK275" s="50">
        <f t="shared" si="240"/>
        <v>17.423216693843809</v>
      </c>
      <c r="AL275" s="50">
        <f t="shared" si="241"/>
        <v>1.5133700858212578</v>
      </c>
      <c r="AM275" s="50" t="str">
        <f t="shared" ref="AM275:AM338" si="274">IMSUM(COMPLEX(1,0),IMDIV(COMPLEX(0,2*PI()*O275),COMPLEX(wz1_dcm,0)))</f>
        <v>1+0.0210098222330667i</v>
      </c>
      <c r="AN275" s="50">
        <f t="shared" si="242"/>
        <v>1.0002206819648676</v>
      </c>
      <c r="AO275" s="50">
        <f t="shared" si="243"/>
        <v>2.1006731717909771E-2</v>
      </c>
      <c r="AP275" s="50" t="str">
        <f t="shared" ref="AP275:AP338" si="275">IMSUB(COMPLEX(1,0),IMDIV(COMPLEX(0,2*PI()*O275),COMPLEX(wz2_dcm,0)))</f>
        <v>1-0.0604068804752256i</v>
      </c>
      <c r="AQ275" s="50">
        <f t="shared" si="244"/>
        <v>1.0018228342420372</v>
      </c>
      <c r="AR275" s="50">
        <f t="shared" si="245"/>
        <v>-6.0333566197038051E-2</v>
      </c>
      <c r="AS275" s="59" t="str">
        <f t="shared" si="246"/>
        <v>0.111934642225633-6.18376183540646i</v>
      </c>
      <c r="AT275" s="50">
        <f t="shared" si="247"/>
        <v>15.82647786834219</v>
      </c>
      <c r="AU275" s="61">
        <f t="shared" si="248"/>
        <v>-88.962980396172867</v>
      </c>
      <c r="AV275" s="32" t="str">
        <f t="shared" ref="AV275:AV338" si="276">COMPLEX(Adc_ea,0)</f>
        <v>-0.0000333333333333333</v>
      </c>
      <c r="AW275" s="32" t="str">
        <f t="shared" ref="AW275:AW338" si="277">COMPLEX(0,2*PI()*O275*wp0_ea)</f>
        <v>0.00112052385243022i</v>
      </c>
      <c r="AX275" s="32">
        <f t="shared" si="249"/>
        <v>1.1205238524302199E-3</v>
      </c>
      <c r="AY275" s="32">
        <f t="shared" si="250"/>
        <v>1.5707963267948966</v>
      </c>
      <c r="AZ275" s="32" t="str">
        <f t="shared" ref="AZ275:AZ338" si="278">IMSUM(COMPLEX(1,0),IMDIV(COMPLEX(0,2*PI()*O275),COMPLEX(wp1_ea,0)))</f>
        <v>1+0.457158168960247i</v>
      </c>
      <c r="BA275" s="32">
        <f t="shared" si="251"/>
        <v>1.0995424464053607</v>
      </c>
      <c r="BB275" s="32">
        <f t="shared" si="252"/>
        <v>0.42879069244784224</v>
      </c>
      <c r="BC275" s="32" t="str">
        <f t="shared" ref="BC275:BC338" si="279">IMSUM(COMPLEX(1,0),IMDIV(COMPLEX(0,2*PI()*O275),COMPLEX(wz_ea,0)))</f>
        <v>1+21.9435921100919i</v>
      </c>
      <c r="BD275" s="32">
        <f t="shared" si="253"/>
        <v>21.966365987438326</v>
      </c>
      <c r="BE275" s="32">
        <f t="shared" si="254"/>
        <v>1.5252564440924059</v>
      </c>
      <c r="BF275" s="59" t="str">
        <f t="shared" si="255"/>
        <v>-0.528686210797603+0.27144121095421i</v>
      </c>
      <c r="BG275" s="50">
        <f t="shared" si="256"/>
        <v>-4.5199228925270702</v>
      </c>
      <c r="BH275" s="61">
        <f t="shared" si="257"/>
        <v>152.82285994987308</v>
      </c>
      <c r="BI275" s="59" t="str">
        <f t="shared" si="258"/>
        <v>0.335880422454714+0.514455610883669i</v>
      </c>
      <c r="BJ275" s="64">
        <f t="shared" si="259"/>
        <v>-4.2310578468263156</v>
      </c>
      <c r="BK275" s="61">
        <f t="shared" si="260"/>
        <v>56.860077360789859</v>
      </c>
      <c r="BL275" s="59" t="str">
        <f t="shared" si="265"/>
        <v>1.6193494989999+3.29965328806932i</v>
      </c>
      <c r="BM275" s="64">
        <f t="shared" si="261"/>
        <v>11.306554975815109</v>
      </c>
      <c r="BN275" s="61">
        <f t="shared" si="266"/>
        <v>63.85987955370021</v>
      </c>
      <c r="BO275" s="50">
        <f t="shared" si="262"/>
        <v>-4.2310578468263156</v>
      </c>
      <c r="BP275" s="61">
        <f t="shared" si="263"/>
        <v>56.860077360789859</v>
      </c>
    </row>
    <row r="276" spans="14:68" x14ac:dyDescent="0.25">
      <c r="N276" s="11">
        <v>58</v>
      </c>
      <c r="O276" s="51">
        <f t="shared" si="264"/>
        <v>3801.8939632056172</v>
      </c>
      <c r="P276" s="49" t="str">
        <f t="shared" si="267"/>
        <v>37.1583961085025</v>
      </c>
      <c r="Q276" s="18" t="str">
        <f t="shared" si="268"/>
        <v>1+18.7236546809373i</v>
      </c>
      <c r="R276" s="18">
        <f t="shared" ref="R276:R339" si="280">IMABS(Q276)</f>
        <v>18.750339853212939</v>
      </c>
      <c r="S276" s="18">
        <f t="shared" ref="S276:S339" si="281">IMARGUMENT(Q276)</f>
        <v>1.5174386451463926</v>
      </c>
      <c r="T276" s="18" t="str">
        <f t="shared" si="269"/>
        <v>1+0.0214992038601615i</v>
      </c>
      <c r="U276" s="18">
        <f t="shared" ref="U276:U339" si="282">IMABS(T276)</f>
        <v>1.0002310811840536</v>
      </c>
      <c r="V276" s="18">
        <f t="shared" ref="V276:V339" si="283">IMARGUMENT(T276)</f>
        <v>2.1495892354826331E-2</v>
      </c>
      <c r="W276" s="32" t="str">
        <f t="shared" si="270"/>
        <v>1-0.188180242120915i</v>
      </c>
      <c r="X276" s="18">
        <f t="shared" ref="X276:X339" si="284">IMABS(W276)</f>
        <v>1.017551867731904</v>
      </c>
      <c r="Y276" s="18">
        <f t="shared" ref="Y276:Y339" si="285">IMARGUMENT(W276)</f>
        <v>-0.18600500850085663</v>
      </c>
      <c r="Z276" s="32" t="str">
        <f t="shared" si="271"/>
        <v>0.999638640057314+0.0453075814682662i</v>
      </c>
      <c r="AA276" s="18">
        <f t="shared" ref="AA276:AA339" si="286">IMABS(Z276)</f>
        <v>1.0006648727891569</v>
      </c>
      <c r="AB276" s="18">
        <f t="shared" ref="AB276:AB339" si="287">IMARGUMENT(Z276)</f>
        <v>4.5292962176508321E-2</v>
      </c>
      <c r="AC276" s="32" t="str">
        <f>IMDIV(IMSUM(COMPLEX(0,2*PI()*O276*Constants!$B$61*Constants!$B$62),COMPLEX(1,0)),IMSUM(COMPLEX(0,2*PI()*O276*Constants!$B$61*Constants!$B$62),COMPLEX(2,0)))</f>
        <v>0.501138674419953+0.0238336029702129i</v>
      </c>
      <c r="AD276" s="18">
        <f t="shared" ref="AD276:AD339" si="288">IMABS(AC276)</f>
        <v>0.50170510424942794</v>
      </c>
      <c r="AE276" s="18">
        <f t="shared" ref="AE276:AE339" si="289">IMARGUMENT(AC276)</f>
        <v>4.7523089312030309E-2</v>
      </c>
      <c r="AF276" s="66" t="str">
        <f t="shared" ref="AF276:AF339" si="290">(IMDIV(IMPRODUCT(P276,T276,W276,AC276),IMPRODUCT(Q276,Z276)))</f>
        <v>-0.109930538130401-1.00527126758337i</v>
      </c>
      <c r="AG276" s="64">
        <f t="shared" ref="AG276:AG339" si="291">20*LOG(IMABS(AF276))</f>
        <v>9.7291650197401727E-2</v>
      </c>
      <c r="AH276" s="61">
        <f t="shared" ref="AH276:AH339" si="292">(180/PI())*IMARGUMENT(AF276)</f>
        <v>-96.24073121089009</v>
      </c>
      <c r="AI276" s="50" t="str">
        <f t="shared" si="272"/>
        <v>107.538871525172</v>
      </c>
      <c r="AJ276" s="50" t="str">
        <f t="shared" si="273"/>
        <v>1+17.7996655335753i</v>
      </c>
      <c r="AK276" s="50">
        <f t="shared" ref="AK276:AK339" si="293">IMABS(AJ276)</f>
        <v>17.827733818608255</v>
      </c>
      <c r="AL276" s="50">
        <f t="shared" ref="AL276:AL339" si="294">IMARGUMENT(AJ276)</f>
        <v>1.5146744917633346</v>
      </c>
      <c r="AM276" s="50" t="str">
        <f t="shared" si="274"/>
        <v>1+0.0214992038601615i</v>
      </c>
      <c r="AN276" s="50">
        <f t="shared" ref="AN276:AN339" si="295">IMABS(AM276)</f>
        <v>1.0002310811840536</v>
      </c>
      <c r="AO276" s="50">
        <f t="shared" ref="AO276:AO339" si="296">IMARGUMENT(AM276)</f>
        <v>2.1495892354826331E-2</v>
      </c>
      <c r="AP276" s="50" t="str">
        <f t="shared" si="275"/>
        <v>1-0.0618139374758394i</v>
      </c>
      <c r="AQ276" s="50">
        <f t="shared" ref="AQ276:AQ339" si="297">IMABS(AP276)</f>
        <v>1.0019086599417468</v>
      </c>
      <c r="AR276" s="50">
        <f t="shared" ref="AR276:AR339" si="298">IMARGUMENT(AP276)</f>
        <v>-6.1735387891809823E-2</v>
      </c>
      <c r="AS276" s="59" t="str">
        <f t="shared" ref="AS276:AS339" si="299">(IMDIV(IMPRODUCT(AI276,AM276,AP276),IMPRODUCT(AJ276)))</f>
        <v>0.0960050385604792-6.04425853478245i</v>
      </c>
      <c r="AT276" s="50">
        <f t="shared" ref="AT276:AT339" si="300">20*LOG(IMABS(AS276))</f>
        <v>15.627956196456109</v>
      </c>
      <c r="AU276" s="61">
        <f t="shared" ref="AU276:AU339" si="301">(180/PI())*IMARGUMENT(AS276)</f>
        <v>-89.090008978166708</v>
      </c>
      <c r="AV276" s="32" t="str">
        <f t="shared" si="276"/>
        <v>-0.0000333333333333333</v>
      </c>
      <c r="AW276" s="32" t="str">
        <f t="shared" si="277"/>
        <v>0.00114662420587528i</v>
      </c>
      <c r="AX276" s="32">
        <f t="shared" ref="AX276:AX339" si="302">IMABS(AW276)</f>
        <v>1.1466242058752801E-3</v>
      </c>
      <c r="AY276" s="32">
        <f t="shared" ref="AY276:AY339" si="303">IMARGUMENT(AW276)</f>
        <v>1.5707963267948966</v>
      </c>
      <c r="AZ276" s="32" t="str">
        <f t="shared" si="278"/>
        <v>1+0.467806750660921i</v>
      </c>
      <c r="BA276" s="32">
        <f t="shared" ref="BA276:BA339" si="304">IMABS(AZ276)</f>
        <v>1.1040122988282011</v>
      </c>
      <c r="BB276" s="32">
        <f t="shared" ref="BB276:BB339" si="305">IMARGUMENT(AZ276)</f>
        <v>0.43756295105939408</v>
      </c>
      <c r="BC276" s="32" t="str">
        <f t="shared" si="279"/>
        <v>1+22.4547240317243i</v>
      </c>
      <c r="BD276" s="32">
        <f t="shared" ref="BD276:BD339" si="306">IMABS(BC276)</f>
        <v>22.476980031598924</v>
      </c>
      <c r="BE276" s="32">
        <f t="shared" ref="BE276:BE339" si="307">IMARGUMENT(BC276)</f>
        <v>1.5262916742315149</v>
      </c>
      <c r="BF276" s="59" t="str">
        <f t="shared" ref="BF276:BF339" si="308">IMPRODUCT(AV276,IMDIV(BC276,IMPRODUCT(AW276,AZ276)))</f>
        <v>-0.5244138571999+0.274395186466477i</v>
      </c>
      <c r="BG276" s="50">
        <f t="shared" ref="BG276:BG339" si="309">20*LOG(IMABS(BF276))</f>
        <v>-4.555566244181172</v>
      </c>
      <c r="BH276" s="61">
        <f t="shared" ref="BH276:BH339" si="310">(180/PI())*IMARGUMENT(BF276)</f>
        <v>152.37956087242952</v>
      </c>
      <c r="BI276" s="59" t="str">
        <f t="shared" ref="BI276:BI339" si="311">IMPRODUCT(AF276,BF276)</f>
        <v>0.333490694442955+0.497013772456976i</v>
      </c>
      <c r="BJ276" s="64">
        <f t="shared" ref="BJ276:BJ339" si="312">20*LOG(IMABS(BI276))</f>
        <v>-4.4582745939837718</v>
      </c>
      <c r="BK276" s="61">
        <f t="shared" ref="BK276:BK339" si="313">(180/PI())*IMARGUMENT(BI276)</f>
        <v>56.138829661539418</v>
      </c>
      <c r="BL276" s="59" t="str">
        <f t="shared" si="265"/>
        <v>1.6081690751211+3.1960362525962i</v>
      </c>
      <c r="BM276" s="64">
        <f t="shared" ref="BM276:BM339" si="314">20*LOG(IMABS(BL276))</f>
        <v>11.072389952274929</v>
      </c>
      <c r="BN276" s="61">
        <f t="shared" si="266"/>
        <v>63.289551894262779</v>
      </c>
      <c r="BO276" s="50">
        <f t="shared" ref="BO276:BO339" si="315">IF($B$31=0,BM276,BJ276)</f>
        <v>-4.4582745939837718</v>
      </c>
      <c r="BP276" s="61">
        <f t="shared" ref="BP276:BP339" si="316">IF($B$31=0,BN276,BK276)</f>
        <v>56.138829661539418</v>
      </c>
    </row>
    <row r="277" spans="14:68" x14ac:dyDescent="0.25">
      <c r="N277" s="11">
        <v>59</v>
      </c>
      <c r="O277" s="51">
        <f t="shared" si="264"/>
        <v>3890.451449942811</v>
      </c>
      <c r="P277" s="49" t="str">
        <f t="shared" si="267"/>
        <v>37.1583961085025</v>
      </c>
      <c r="Q277" s="18" t="str">
        <f t="shared" si="268"/>
        <v>1+19.1597846248879i</v>
      </c>
      <c r="R277" s="18">
        <f t="shared" si="280"/>
        <v>19.185863203726093</v>
      </c>
      <c r="S277" s="18">
        <f t="shared" si="281"/>
        <v>1.5186509881893819</v>
      </c>
      <c r="T277" s="18" t="str">
        <f t="shared" si="269"/>
        <v>1+0.0219999846497186i</v>
      </c>
      <c r="U277" s="18">
        <f t="shared" si="282"/>
        <v>1.0002419703874597</v>
      </c>
      <c r="V277" s="18">
        <f t="shared" si="283"/>
        <v>2.1996436354181401E-2</v>
      </c>
      <c r="W277" s="32" t="str">
        <f t="shared" si="270"/>
        <v>1-0.192563523048028i</v>
      </c>
      <c r="X277" s="18">
        <f t="shared" si="284"/>
        <v>1.0183715974086611</v>
      </c>
      <c r="Y277" s="18">
        <f t="shared" si="285"/>
        <v>-0.19023498317173829</v>
      </c>
      <c r="Z277" s="32" t="str">
        <f t="shared" si="271"/>
        <v>0.999621609687891+0.0463629306136661i</v>
      </c>
      <c r="AA277" s="18">
        <f t="shared" si="286"/>
        <v>1.0006961995981087</v>
      </c>
      <c r="AB277" s="18">
        <f t="shared" si="287"/>
        <v>4.634726628920114E-2</v>
      </c>
      <c r="AC277" s="32" t="str">
        <f>IMDIV(IMSUM(COMPLEX(0,2*PI()*O277*Constants!$B$61*Constants!$B$62),COMPLEX(1,0)),IMSUM(COMPLEX(0,2*PI()*O277*Constants!$B$61*Constants!$B$62),COMPLEX(2,0)))</f>
        <v>0.501192210534324+0.0243861415808998i</v>
      </c>
      <c r="AD277" s="18">
        <f t="shared" si="288"/>
        <v>0.50178512911552675</v>
      </c>
      <c r="AE277" s="18">
        <f t="shared" si="289"/>
        <v>4.8617923780459489E-2</v>
      </c>
      <c r="AF277" s="66" t="str">
        <f t="shared" si="290"/>
        <v>-0.112355065469955-0.982840720762476i</v>
      </c>
      <c r="AG277" s="64">
        <f t="shared" si="291"/>
        <v>-9.3949913331319149E-2</v>
      </c>
      <c r="AH277" s="61">
        <f t="shared" si="292"/>
        <v>-96.521551769714662</v>
      </c>
      <c r="AI277" s="50" t="str">
        <f t="shared" si="272"/>
        <v>107.538871525172</v>
      </c>
      <c r="AJ277" s="50" t="str">
        <f t="shared" si="273"/>
        <v>1+18.2142730054489i</v>
      </c>
      <c r="AK277" s="50">
        <f t="shared" si="293"/>
        <v>18.241703350208951</v>
      </c>
      <c r="AL277" s="50">
        <f t="shared" si="294"/>
        <v>1.515949390562755</v>
      </c>
      <c r="AM277" s="50" t="str">
        <f t="shared" si="274"/>
        <v>1+0.0219999846497186i</v>
      </c>
      <c r="AN277" s="50">
        <f t="shared" si="295"/>
        <v>1.0002419703874597</v>
      </c>
      <c r="AO277" s="50">
        <f t="shared" si="296"/>
        <v>2.1996436354181401E-2</v>
      </c>
      <c r="AP277" s="50" t="str">
        <f t="shared" si="275"/>
        <v>1-0.0632537690443072i</v>
      </c>
      <c r="AQ277" s="50">
        <f t="shared" si="297"/>
        <v>1.0019985226028583</v>
      </c>
      <c r="AR277" s="50">
        <f t="shared" si="298"/>
        <v>-6.3169610712685023E-2</v>
      </c>
      <c r="AS277" s="59" t="str">
        <f t="shared" si="299"/>
        <v>0.0807879745041625-5.90787964311287i</v>
      </c>
      <c r="AT277" s="50">
        <f t="shared" si="300"/>
        <v>15.429444816716764</v>
      </c>
      <c r="AU277" s="61">
        <f t="shared" si="301"/>
        <v>-89.216551154573651</v>
      </c>
      <c r="AV277" s="32" t="str">
        <f t="shared" si="276"/>
        <v>-0.0000333333333333333</v>
      </c>
      <c r="AW277" s="32" t="str">
        <f t="shared" si="277"/>
        <v>0.00117333251465166i</v>
      </c>
      <c r="AX277" s="32">
        <f t="shared" si="302"/>
        <v>1.1733325146516601E-3</v>
      </c>
      <c r="AY277" s="32">
        <f t="shared" si="303"/>
        <v>1.5707963267948966</v>
      </c>
      <c r="AZ277" s="32" t="str">
        <f t="shared" si="278"/>
        <v>1+0.478703369692951i</v>
      </c>
      <c r="BA277" s="32">
        <f t="shared" si="304"/>
        <v>1.1086734939356069</v>
      </c>
      <c r="BB277" s="32">
        <f t="shared" si="305"/>
        <v>0.44646561393919898</v>
      </c>
      <c r="BC277" s="32" t="str">
        <f t="shared" si="279"/>
        <v>1+22.9777617452617i</v>
      </c>
      <c r="BD277" s="32">
        <f t="shared" si="306"/>
        <v>22.9995116213804</v>
      </c>
      <c r="BE277" s="32">
        <f t="shared" si="307"/>
        <v>1.5273034319002996</v>
      </c>
      <c r="BF277" s="59" t="str">
        <f t="shared" si="308"/>
        <v>-0.520013541265336+0.277341345220946i</v>
      </c>
      <c r="BG277" s="50">
        <f t="shared" si="309"/>
        <v>-4.5925482171784324</v>
      </c>
      <c r="BH277" s="61">
        <f t="shared" si="310"/>
        <v>151.92744530730025</v>
      </c>
      <c r="BI277" s="59" t="str">
        <f t="shared" si="311"/>
        <v>0.331008523108319+0.479929778703646i</v>
      </c>
      <c r="BJ277" s="64">
        <f t="shared" si="312"/>
        <v>-4.6864981305097499</v>
      </c>
      <c r="BK277" s="61">
        <f t="shared" si="313"/>
        <v>55.405893537585627</v>
      </c>
      <c r="BL277" s="59" t="str">
        <f t="shared" si="265"/>
        <v>1.5964884469108+3.09458326011117i</v>
      </c>
      <c r="BM277" s="64">
        <f t="shared" si="314"/>
        <v>10.836896599538324</v>
      </c>
      <c r="BN277" s="61">
        <f t="shared" si="266"/>
        <v>62.710894152726624</v>
      </c>
      <c r="BO277" s="50">
        <f t="shared" si="315"/>
        <v>-4.6864981305097499</v>
      </c>
      <c r="BP277" s="61">
        <f t="shared" si="316"/>
        <v>55.405893537585627</v>
      </c>
    </row>
    <row r="278" spans="14:68" x14ac:dyDescent="0.25">
      <c r="N278" s="11">
        <v>60</v>
      </c>
      <c r="O278" s="51">
        <f t="shared" si="264"/>
        <v>3981.0717055349769</v>
      </c>
      <c r="P278" s="49" t="str">
        <f t="shared" si="267"/>
        <v>37.1583961085025</v>
      </c>
      <c r="Q278" s="18" t="str">
        <f t="shared" si="268"/>
        <v>1+19.6060733402563i</v>
      </c>
      <c r="R278" s="18">
        <f t="shared" si="280"/>
        <v>19.631559077758162</v>
      </c>
      <c r="S278" s="18">
        <f t="shared" si="281"/>
        <v>1.5198358832043959</v>
      </c>
      <c r="T278" s="18" t="str">
        <f t="shared" si="269"/>
        <v>1+0.0225124301223412i</v>
      </c>
      <c r="U278" s="18">
        <f t="shared" si="282"/>
        <v>1.0002533726561553</v>
      </c>
      <c r="V278" s="18">
        <f t="shared" si="283"/>
        <v>2.2508628107186211E-2</v>
      </c>
      <c r="W278" s="32" t="str">
        <f t="shared" si="270"/>
        <v>1-0.19704890370394i</v>
      </c>
      <c r="X278" s="18">
        <f t="shared" si="284"/>
        <v>1.0192292531373521</v>
      </c>
      <c r="Y278" s="18">
        <f t="shared" si="285"/>
        <v>-0.19455636358570677</v>
      </c>
      <c r="Z278" s="32" t="str">
        <f t="shared" si="271"/>
        <v>0.999603776701885+0.0474428619985633i</v>
      </c>
      <c r="AA278" s="18">
        <f t="shared" si="286"/>
        <v>1.0007290020536463</v>
      </c>
      <c r="AB278" s="18">
        <f t="shared" si="287"/>
        <v>4.7426077965861638E-2</v>
      </c>
      <c r="AC278" s="32" t="str">
        <f>IMDIV(IMSUM(COMPLEX(0,2*PI()*O278*Constants!$B$61*Constants!$B$62),COMPLEX(1,0)),IMSUM(COMPLEX(0,2*PI()*O278*Constants!$B$61*Constants!$B$62),COMPLEX(2,0)))</f>
        <v>0.501248257413721+0.0249513638963767i</v>
      </c>
      <c r="AD278" s="18">
        <f t="shared" si="288"/>
        <v>0.50186889335819707</v>
      </c>
      <c r="AE278" s="18">
        <f t="shared" si="289"/>
        <v>4.9737400905981777E-2</v>
      </c>
      <c r="AF278" s="66" t="str">
        <f t="shared" si="290"/>
        <v>-0.114673961243381-0.960919883556474i</v>
      </c>
      <c r="AG278" s="64">
        <f t="shared" si="291"/>
        <v>-0.28484269821124725</v>
      </c>
      <c r="AH278" s="61">
        <f t="shared" si="292"/>
        <v>-96.805361728291544</v>
      </c>
      <c r="AI278" s="50" t="str">
        <f t="shared" si="272"/>
        <v>107.538871525172</v>
      </c>
      <c r="AJ278" s="50" t="str">
        <f t="shared" si="273"/>
        <v>1+18.6385379259643i</v>
      </c>
      <c r="AK278" s="50">
        <f t="shared" si="293"/>
        <v>18.665344787000578</v>
      </c>
      <c r="AL278" s="50">
        <f t="shared" si="294"/>
        <v>1.5171954416009212</v>
      </c>
      <c r="AM278" s="50" t="str">
        <f t="shared" si="274"/>
        <v>1+0.0225124301223412i</v>
      </c>
      <c r="AN278" s="50">
        <f t="shared" si="295"/>
        <v>1.0002533726561553</v>
      </c>
      <c r="AO278" s="50">
        <f t="shared" si="296"/>
        <v>2.2508628107186211E-2</v>
      </c>
      <c r="AP278" s="50" t="str">
        <f t="shared" si="275"/>
        <v>1-0.0647271385983847i</v>
      </c>
      <c r="AQ278" s="50">
        <f t="shared" si="297"/>
        <v>1.0020926117236544</v>
      </c>
      <c r="AR278" s="50">
        <f t="shared" si="298"/>
        <v>-6.4636971488756453E-2</v>
      </c>
      <c r="AS278" s="59" t="str">
        <f t="shared" si="299"/>
        <v>0.0662517668710377-5.77455818076581i</v>
      </c>
      <c r="AT278" s="50">
        <f t="shared" si="300"/>
        <v>15.230946855105898</v>
      </c>
      <c r="AU278" s="61">
        <f t="shared" si="301"/>
        <v>-89.342671773861824</v>
      </c>
      <c r="AV278" s="32" t="str">
        <f t="shared" si="276"/>
        <v>-0.0000333333333333333</v>
      </c>
      <c r="AW278" s="32" t="str">
        <f t="shared" si="277"/>
        <v>0.0012006629398582i</v>
      </c>
      <c r="AX278" s="32">
        <f t="shared" si="302"/>
        <v>1.2006629398582001E-3</v>
      </c>
      <c r="AY278" s="32">
        <f t="shared" si="303"/>
        <v>1.5707963267948966</v>
      </c>
      <c r="AZ278" s="32" t="str">
        <f t="shared" si="278"/>
        <v>1+0.489853803587979i</v>
      </c>
      <c r="BA278" s="32">
        <f t="shared" si="304"/>
        <v>1.1135334520747953</v>
      </c>
      <c r="BB278" s="32">
        <f t="shared" si="305"/>
        <v>0.45549775557628608</v>
      </c>
      <c r="BC278" s="32" t="str">
        <f t="shared" si="279"/>
        <v>1+23.512982572223i</v>
      </c>
      <c r="BD278" s="32">
        <f t="shared" si="306"/>
        <v>23.534237813059985</v>
      </c>
      <c r="BE278" s="32">
        <f t="shared" si="307"/>
        <v>1.528292245255835</v>
      </c>
      <c r="BF278" s="59" t="str">
        <f t="shared" si="308"/>
        <v>-0.515484303233259+0.280274387049559i</v>
      </c>
      <c r="BG278" s="50">
        <f t="shared" si="309"/>
        <v>-4.6309098228863927</v>
      </c>
      <c r="BH278" s="61">
        <f t="shared" si="310"/>
        <v>151.46659654352908</v>
      </c>
      <c r="BI278" s="59" t="str">
        <f t="shared" si="311"/>
        <v>0.328433858378066+0.46319894244006i</v>
      </c>
      <c r="BJ278" s="64">
        <f t="shared" si="312"/>
        <v>-4.9157525210976409</v>
      </c>
      <c r="BK278" s="61">
        <f t="shared" si="313"/>
        <v>54.661234815237592</v>
      </c>
      <c r="BL278" s="59" t="str">
        <f t="shared" si="265"/>
        <v>1.58430900871266+2.99526277364271i</v>
      </c>
      <c r="BM278" s="64">
        <f t="shared" si="314"/>
        <v>10.6000370322195</v>
      </c>
      <c r="BN278" s="61">
        <f t="shared" si="266"/>
        <v>62.123924769667362</v>
      </c>
      <c r="BO278" s="50">
        <f t="shared" si="315"/>
        <v>-4.9157525210976409</v>
      </c>
      <c r="BP278" s="61">
        <f t="shared" si="316"/>
        <v>54.661234815237592</v>
      </c>
    </row>
    <row r="279" spans="14:68" x14ac:dyDescent="0.25">
      <c r="N279" s="11">
        <v>61</v>
      </c>
      <c r="O279" s="51">
        <f t="shared" si="264"/>
        <v>4073.8027780411317</v>
      </c>
      <c r="P279" s="49" t="str">
        <f t="shared" si="267"/>
        <v>37.1583961085025</v>
      </c>
      <c r="Q279" s="18" t="str">
        <f t="shared" si="268"/>
        <v>1+20.0627574552268i</v>
      </c>
      <c r="R279" s="18">
        <f t="shared" si="280"/>
        <v>20.087663794161294</v>
      </c>
      <c r="S279" s="18">
        <f t="shared" si="281"/>
        <v>1.5209939451223882</v>
      </c>
      <c r="T279" s="18" t="str">
        <f t="shared" si="269"/>
        <v>1+0.0230368119834019i</v>
      </c>
      <c r="U279" s="18">
        <f t="shared" si="282"/>
        <v>1.0002653121579088</v>
      </c>
      <c r="V279" s="18">
        <f t="shared" si="283"/>
        <v>2.3032738109123031E-2</v>
      </c>
      <c r="W279" s="32" t="str">
        <f t="shared" si="270"/>
        <v>1-0.201638762296847i</v>
      </c>
      <c r="X279" s="18">
        <f t="shared" si="284"/>
        <v>1.0201265561000774</v>
      </c>
      <c r="Y279" s="18">
        <f t="shared" si="285"/>
        <v>-0.19897079509427013</v>
      </c>
      <c r="Z279" s="32" t="str">
        <f t="shared" si="271"/>
        <v>0.999585103273141+0.0485479482168728i</v>
      </c>
      <c r="AA279" s="18">
        <f t="shared" si="286"/>
        <v>1.0007633496294936</v>
      </c>
      <c r="AB279" s="18">
        <f t="shared" si="287"/>
        <v>4.8529964467522314E-2</v>
      </c>
      <c r="AC279" s="32" t="str">
        <f>IMDIV(IMSUM(COMPLEX(0,2*PI()*O279*Constants!$B$61*Constants!$B$62),COMPLEX(1,0)),IMSUM(COMPLEX(0,2*PI()*O279*Constants!$B$61*Constants!$B$62),COMPLEX(2,0)))</f>
        <v>0.501306932203345+0.025529552089461i</v>
      </c>
      <c r="AD279" s="18">
        <f t="shared" si="288"/>
        <v>0.50195657013831152</v>
      </c>
      <c r="AE279" s="18">
        <f t="shared" si="289"/>
        <v>5.0882034143404906E-2</v>
      </c>
      <c r="AF279" s="66" t="str">
        <f t="shared" si="290"/>
        <v>-0.116892065480937-0.939497864437722i</v>
      </c>
      <c r="AG279" s="64">
        <f t="shared" si="291"/>
        <v>-0.47536916609002344</v>
      </c>
      <c r="AH279" s="61">
        <f t="shared" si="292"/>
        <v>-97.092278175897917</v>
      </c>
      <c r="AI279" s="50" t="str">
        <f t="shared" si="272"/>
        <v>107.538871525172</v>
      </c>
      <c r="AJ279" s="50" t="str">
        <f t="shared" si="273"/>
        <v>1+19.0726852459984i</v>
      </c>
      <c r="AK279" s="50">
        <f t="shared" si="293"/>
        <v>19.098882755096568</v>
      </c>
      <c r="AL279" s="50">
        <f t="shared" si="294"/>
        <v>1.5184132900644349</v>
      </c>
      <c r="AM279" s="50" t="str">
        <f t="shared" si="274"/>
        <v>1+0.0230368119834019i</v>
      </c>
      <c r="AN279" s="50">
        <f t="shared" si="295"/>
        <v>1.0002653121579088</v>
      </c>
      <c r="AO279" s="50">
        <f t="shared" si="296"/>
        <v>2.3032738109123031E-2</v>
      </c>
      <c r="AP279" s="50" t="str">
        <f t="shared" si="275"/>
        <v>1-0.0662348273381122i</v>
      </c>
      <c r="AQ279" s="50">
        <f t="shared" si="297"/>
        <v>1.002191125660425</v>
      </c>
      <c r="AR279" s="50">
        <f t="shared" si="298"/>
        <v>-6.613822294432703E-2</v>
      </c>
      <c r="AS279" s="59" t="str">
        <f t="shared" si="299"/>
        <v>0.0523661246763931-5.64422843687816i</v>
      </c>
      <c r="AT279" s="50">
        <f t="shared" si="300"/>
        <v>15.0324654652437</v>
      </c>
      <c r="AU279" s="61">
        <f t="shared" si="301"/>
        <v>-89.46843543218813</v>
      </c>
      <c r="AV279" s="32" t="str">
        <f t="shared" si="276"/>
        <v>-0.0000333333333333333</v>
      </c>
      <c r="AW279" s="32" t="str">
        <f t="shared" si="277"/>
        <v>0.0012286299724481i</v>
      </c>
      <c r="AX279" s="32">
        <f t="shared" si="302"/>
        <v>1.2286299724481001E-3</v>
      </c>
      <c r="AY279" s="32">
        <f t="shared" si="303"/>
        <v>1.5707963267948966</v>
      </c>
      <c r="AZ279" s="32" t="str">
        <f t="shared" si="278"/>
        <v>1+0.501263964453652i</v>
      </c>
      <c r="BA279" s="32">
        <f t="shared" si="304"/>
        <v>1.1185998221257645</v>
      </c>
      <c r="BB279" s="32">
        <f t="shared" si="305"/>
        <v>0.46465826924399711</v>
      </c>
      <c r="BC279" s="32" t="str">
        <f t="shared" si="279"/>
        <v>1+24.0606702937753i</v>
      </c>
      <c r="BD279" s="32">
        <f t="shared" si="306"/>
        <v>24.081442128447399</v>
      </c>
      <c r="BE279" s="32">
        <f t="shared" si="307"/>
        <v>1.5292586308411329</v>
      </c>
      <c r="BF279" s="59" t="str">
        <f t="shared" si="308"/>
        <v>-0.510825407588576+0.283188859075322i</v>
      </c>
      <c r="BG279" s="50">
        <f t="shared" si="309"/>
        <v>-4.6706923018617319</v>
      </c>
      <c r="BH279" s="61">
        <f t="shared" si="310"/>
        <v>150.99710758761728</v>
      </c>
      <c r="BI279" s="59" t="str">
        <f t="shared" si="311"/>
        <v>0.32576676532699+0.446816848871492i</v>
      </c>
      <c r="BJ279" s="64">
        <f t="shared" si="312"/>
        <v>-5.1460614679517516</v>
      </c>
      <c r="BK279" s="61">
        <f t="shared" si="313"/>
        <v>53.90482941171939</v>
      </c>
      <c r="BL279" s="59" t="str">
        <f t="shared" si="265"/>
        <v>1.57163266441836+2.89804479489262i</v>
      </c>
      <c r="BM279" s="64">
        <f t="shared" si="314"/>
        <v>10.361773163381965</v>
      </c>
      <c r="BN279" s="61">
        <f t="shared" si="266"/>
        <v>61.52867215542917</v>
      </c>
      <c r="BO279" s="50">
        <f t="shared" si="315"/>
        <v>-5.1460614679517516</v>
      </c>
      <c r="BP279" s="61">
        <f t="shared" si="316"/>
        <v>53.90482941171939</v>
      </c>
    </row>
    <row r="280" spans="14:68" x14ac:dyDescent="0.25">
      <c r="N280" s="11">
        <v>62</v>
      </c>
      <c r="O280" s="51">
        <f t="shared" si="264"/>
        <v>4168.6938347033583</v>
      </c>
      <c r="P280" s="49" t="str">
        <f t="shared" si="267"/>
        <v>37.1583961085025</v>
      </c>
      <c r="Q280" s="18" t="str">
        <f t="shared" si="268"/>
        <v>1+20.5300791097621i</v>
      </c>
      <c r="R280" s="18">
        <f t="shared" si="280"/>
        <v>20.554419190361234</v>
      </c>
      <c r="S280" s="18">
        <f t="shared" si="281"/>
        <v>1.5221257755313786</v>
      </c>
      <c r="T280" s="18" t="str">
        <f t="shared" si="269"/>
        <v>1+0.0235734082671045i</v>
      </c>
      <c r="U280" s="18">
        <f t="shared" si="282"/>
        <v>1.0002778141982993</v>
      </c>
      <c r="V280" s="18">
        <f t="shared" si="283"/>
        <v>2.3569043097644616E-2</v>
      </c>
      <c r="W280" s="32" t="str">
        <f t="shared" si="270"/>
        <v>1-0.206335532430529i</v>
      </c>
      <c r="X280" s="18">
        <f t="shared" si="284"/>
        <v>1.0210653024872551</v>
      </c>
      <c r="Y280" s="18">
        <f t="shared" si="285"/>
        <v>-0.20347992975971188</v>
      </c>
      <c r="Z280" s="32" t="str">
        <f t="shared" si="271"/>
        <v>0.999565549792813+0.0496787751999349i</v>
      </c>
      <c r="AA280" s="18">
        <f t="shared" si="286"/>
        <v>1.0007993150666992</v>
      </c>
      <c r="AB280" s="18">
        <f t="shared" si="287"/>
        <v>4.9659506012194383E-2</v>
      </c>
      <c r="AC280" s="32" t="str">
        <f>IMDIV(IMSUM(COMPLEX(0,2*PI()*O280*Constants!$B$61*Constants!$B$62),COMPLEX(1,0)),IMSUM(COMPLEX(0,2*PI()*O280*Constants!$B$61*Constants!$B$62),COMPLEX(2,0)))</f>
        <v>0.501368357455772+0.0261209939657599i</v>
      </c>
      <c r="AD280" s="18">
        <f t="shared" si="288"/>
        <v>0.50204834048491587</v>
      </c>
      <c r="AE280" s="18">
        <f t="shared" si="289"/>
        <v>5.2052344686934322E-2</v>
      </c>
      <c r="AF280" s="66" t="str">
        <f t="shared" si="290"/>
        <v>-0.11901401102119-0.918563986111006i</v>
      </c>
      <c r="AG280" s="64">
        <f t="shared" si="291"/>
        <v>-0.66551116313773317</v>
      </c>
      <c r="AH280" s="61">
        <f t="shared" si="292"/>
        <v>-97.382417763099994</v>
      </c>
      <c r="AI280" s="50" t="str">
        <f t="shared" si="272"/>
        <v>107.538871525172</v>
      </c>
      <c r="AJ280" s="50" t="str">
        <f t="shared" si="273"/>
        <v>1+19.5169451562067i</v>
      </c>
      <c r="AK280" s="50">
        <f t="shared" si="293"/>
        <v>19.542547127495439</v>
      </c>
      <c r="AL280" s="50">
        <f t="shared" si="294"/>
        <v>1.5196035672144139</v>
      </c>
      <c r="AM280" s="50" t="str">
        <f t="shared" si="274"/>
        <v>1+0.0235734082671045i</v>
      </c>
      <c r="AN280" s="50">
        <f t="shared" si="295"/>
        <v>1.0002778141982993</v>
      </c>
      <c r="AO280" s="50">
        <f t="shared" si="296"/>
        <v>2.3569043097644616E-2</v>
      </c>
      <c r="AP280" s="50" t="str">
        <f t="shared" si="275"/>
        <v>1-0.0677776346600161i</v>
      </c>
      <c r="AQ280" s="50">
        <f t="shared" si="297"/>
        <v>1.0022942720379613</v>
      </c>
      <c r="AR280" s="50">
        <f t="shared" si="298"/>
        <v>-6.7674133979909762E-2</v>
      </c>
      <c r="AS280" s="59" t="str">
        <f t="shared" si="299"/>
        <v>0.0391020894209067-5.51682595765787i</v>
      </c>
      <c r="AT280" s="50">
        <f t="shared" si="300"/>
        <v>14.834003834806566</v>
      </c>
      <c r="AU280" s="61">
        <f t="shared" si="301"/>
        <v>-89.59390649700515</v>
      </c>
      <c r="AV280" s="32" t="str">
        <f t="shared" si="276"/>
        <v>-0.0000333333333333333</v>
      </c>
      <c r="AW280" s="32" t="str">
        <f t="shared" si="277"/>
        <v>0.00125724844091224i</v>
      </c>
      <c r="AX280" s="32">
        <f t="shared" si="302"/>
        <v>1.25724844091224E-3</v>
      </c>
      <c r="AY280" s="32">
        <f t="shared" si="303"/>
        <v>1.5707963267948966</v>
      </c>
      <c r="AZ280" s="32" t="str">
        <f t="shared" si="278"/>
        <v>1+0.512939902108292i</v>
      </c>
      <c r="BA280" s="32">
        <f t="shared" si="304"/>
        <v>1.1238804843820647</v>
      </c>
      <c r="BB280" s="32">
        <f t="shared" si="305"/>
        <v>0.47394586137954409</v>
      </c>
      <c r="BC280" s="32" t="str">
        <f t="shared" si="279"/>
        <v>1+24.6211153011981i</v>
      </c>
      <c r="BD280" s="32">
        <f t="shared" si="306"/>
        <v>24.641414705225248</v>
      </c>
      <c r="BE280" s="32">
        <f t="shared" si="307"/>
        <v>1.5302030938224396</v>
      </c>
      <c r="BF280" s="59" t="str">
        <f t="shared" si="308"/>
        <v>-0.50603635882137+0.286079165128841i</v>
      </c>
      <c r="BG280" s="50">
        <f t="shared" si="309"/>
        <v>-4.7119370528305202</v>
      </c>
      <c r="BH280" s="61">
        <f t="shared" si="310"/>
        <v>150.51908149914675</v>
      </c>
      <c r="BI280" s="59" t="str">
        <f t="shared" si="311"/>
        <v>0.323007435049946+0.43077934596448i</v>
      </c>
      <c r="BJ280" s="64">
        <f t="shared" si="312"/>
        <v>-5.3774482159682595</v>
      </c>
      <c r="BK280" s="61">
        <f t="shared" si="313"/>
        <v>53.136663736046749</v>
      </c>
      <c r="BL280" s="59" t="str">
        <f t="shared" si="265"/>
        <v>1.55846188517502+2.80290081296073i</v>
      </c>
      <c r="BM280" s="64">
        <f t="shared" si="314"/>
        <v>10.122066781976038</v>
      </c>
      <c r="BN280" s="61">
        <f t="shared" si="266"/>
        <v>60.925175002141565</v>
      </c>
      <c r="BO280" s="50">
        <f t="shared" si="315"/>
        <v>-5.3774482159682595</v>
      </c>
      <c r="BP280" s="61">
        <f t="shared" si="316"/>
        <v>53.136663736046749</v>
      </c>
    </row>
    <row r="281" spans="14:68" x14ac:dyDescent="0.25">
      <c r="N281" s="11">
        <v>63</v>
      </c>
      <c r="O281" s="51">
        <f t="shared" si="264"/>
        <v>4265.7951880159299</v>
      </c>
      <c r="P281" s="49" t="str">
        <f t="shared" si="267"/>
        <v>37.1583961085025</v>
      </c>
      <c r="Q281" s="18" t="str">
        <f t="shared" si="268"/>
        <v>1+21.008286083989i</v>
      </c>
      <c r="R281" s="18">
        <f t="shared" si="280"/>
        <v>21.03207275060463</v>
      </c>
      <c r="S281" s="18">
        <f t="shared" si="281"/>
        <v>1.5232319629368807</v>
      </c>
      <c r="T281" s="18" t="str">
        <f t="shared" si="269"/>
        <v>1+0.0241225034839012i</v>
      </c>
      <c r="U281" s="18">
        <f t="shared" si="282"/>
        <v>1.0002909052742261</v>
      </c>
      <c r="V281" s="18">
        <f t="shared" si="283"/>
        <v>2.411782619401806E-2</v>
      </c>
      <c r="W281" s="32" t="str">
        <f t="shared" si="270"/>
        <v>1-0.211141704394678i</v>
      </c>
      <c r="X281" s="18">
        <f t="shared" si="284"/>
        <v>1.0220473664829284</v>
      </c>
      <c r="Y281" s="18">
        <f t="shared" si="285"/>
        <v>-0.20808542458970727</v>
      </c>
      <c r="Z281" s="32" t="str">
        <f t="shared" si="271"/>
        <v>0.999545074785347+0.0508359425271843i</v>
      </c>
      <c r="AA281" s="18">
        <f t="shared" si="286"/>
        <v>1.0008369745269567</v>
      </c>
      <c r="AB281" s="18">
        <f t="shared" si="287"/>
        <v>5.0815296058444169E-2</v>
      </c>
      <c r="AC281" s="32" t="str">
        <f>IMDIV(IMSUM(COMPLEX(0,2*PI()*O281*Constants!$B$61*Constants!$B$62),COMPLEX(1,0)),IMSUM(COMPLEX(0,2*PI()*O281*Constants!$B$61*Constants!$B$62),COMPLEX(2,0)))</f>
        <v>0.501432661374938+0.0267259830287608i</v>
      </c>
      <c r="AD281" s="18">
        <f t="shared" si="288"/>
        <v>0.50214439363833074</v>
      </c>
      <c r="AE281" s="18">
        <f t="shared" si="289"/>
        <v>5.3248861361742908E-2</v>
      </c>
      <c r="AF281" s="66" t="str">
        <f t="shared" si="290"/>
        <v>-0.121044232733984-0.898107783030052i</v>
      </c>
      <c r="AG281" s="64">
        <f t="shared" si="291"/>
        <v>-0.85524989607588142</v>
      </c>
      <c r="AH281" s="61">
        <f t="shared" si="292"/>
        <v>-97.675896629893259</v>
      </c>
      <c r="AI281" s="50" t="str">
        <f t="shared" si="272"/>
        <v>107.538871525172</v>
      </c>
      <c r="AJ281" s="50" t="str">
        <f t="shared" si="273"/>
        <v>1+19.9715532090741i</v>
      </c>
      <c r="AK281" s="50">
        <f t="shared" si="293"/>
        <v>19.996573145988737</v>
      </c>
      <c r="AL281" s="50">
        <f t="shared" si="294"/>
        <v>1.5207668906532097</v>
      </c>
      <c r="AM281" s="50" t="str">
        <f t="shared" si="274"/>
        <v>1+0.0241225034839012i</v>
      </c>
      <c r="AN281" s="50">
        <f t="shared" si="295"/>
        <v>1.0002909052742261</v>
      </c>
      <c r="AO281" s="50">
        <f t="shared" si="296"/>
        <v>2.411782619401806E-2</v>
      </c>
      <c r="AP281" s="50" t="str">
        <f t="shared" si="275"/>
        <v>1-0.0693563785809596i</v>
      </c>
      <c r="AQ281" s="50">
        <f t="shared" si="297"/>
        <v>1.0024022681787315</v>
      </c>
      <c r="AR281" s="50">
        <f t="shared" si="298"/>
        <v>-6.9245489953563139E-2</v>
      </c>
      <c r="AS281" s="59" t="str">
        <f t="shared" si="299"/>
        <v>0.0264319778073161-5.39228753384812i</v>
      </c>
      <c r="AT281" s="50">
        <f t="shared" si="300"/>
        <v>14.635565192007808</v>
      </c>
      <c r="AU281" s="61">
        <f t="shared" si="301"/>
        <v>-89.719149130369487</v>
      </c>
      <c r="AV281" s="32" t="str">
        <f t="shared" si="276"/>
        <v>-0.0000333333333333333</v>
      </c>
      <c r="AW281" s="32" t="str">
        <f t="shared" si="277"/>
        <v>0.0012865335191414i</v>
      </c>
      <c r="AX281" s="32">
        <f t="shared" si="302"/>
        <v>1.2865335191414001E-3</v>
      </c>
      <c r="AY281" s="32">
        <f t="shared" si="303"/>
        <v>1.5707963267948966</v>
      </c>
      <c r="AZ281" s="32" t="str">
        <f t="shared" si="278"/>
        <v>1+0.524887807288591i</v>
      </c>
      <c r="BA281" s="32">
        <f t="shared" si="304"/>
        <v>1.1293835532006942</v>
      </c>
      <c r="BB281" s="32">
        <f t="shared" si="305"/>
        <v>0.48335904633600951</v>
      </c>
      <c r="BC281" s="32" t="str">
        <f t="shared" si="279"/>
        <v>1+25.1946147498524i</v>
      </c>
      <c r="BD281" s="32">
        <f t="shared" si="306"/>
        <v>25.21445245079655</v>
      </c>
      <c r="BE281" s="32">
        <f t="shared" si="307"/>
        <v>1.5311261282229209</v>
      </c>
      <c r="BF281" s="59" t="str">
        <f t="shared" si="308"/>
        <v>-0.501116916948166+0.288939576655519i</v>
      </c>
      <c r="BG281" s="50">
        <f t="shared" si="309"/>
        <v>-4.754685556699572</v>
      </c>
      <c r="BH281" s="61">
        <f t="shared" si="310"/>
        <v>150.03263170485806</v>
      </c>
      <c r="BI281" s="59" t="str">
        <f t="shared" si="311"/>
        <v>0.32015619534174+0.415082533956423i</v>
      </c>
      <c r="BJ281" s="64">
        <f t="shared" si="312"/>
        <v>-5.6099354527754492</v>
      </c>
      <c r="BK281" s="61">
        <f t="shared" si="313"/>
        <v>52.35673507496486</v>
      </c>
      <c r="BL281" s="59" t="str">
        <f t="shared" si="265"/>
        <v>1.54479976600726+2.70980374873781i</v>
      </c>
      <c r="BM281" s="64">
        <f t="shared" si="314"/>
        <v>9.880879635308224</v>
      </c>
      <c r="BN281" s="61">
        <f t="shared" si="266"/>
        <v>60.313482574488624</v>
      </c>
      <c r="BO281" s="50">
        <f t="shared" si="315"/>
        <v>-5.6099354527754492</v>
      </c>
      <c r="BP281" s="61">
        <f t="shared" si="316"/>
        <v>52.35673507496486</v>
      </c>
    </row>
    <row r="282" spans="14:68" x14ac:dyDescent="0.25">
      <c r="N282" s="11">
        <v>64</v>
      </c>
      <c r="O282" s="51">
        <f t="shared" si="264"/>
        <v>4365.1583224016631</v>
      </c>
      <c r="P282" s="49" t="str">
        <f t="shared" si="267"/>
        <v>37.1583961085025</v>
      </c>
      <c r="Q282" s="18" t="str">
        <f t="shared" si="268"/>
        <v>1+21.4976319295752i</v>
      </c>
      <c r="R282" s="18">
        <f t="shared" si="280"/>
        <v>21.520877737199548</v>
      </c>
      <c r="S282" s="18">
        <f t="shared" si="281"/>
        <v>1.5243130830192497</v>
      </c>
      <c r="T282" s="18" t="str">
        <f t="shared" si="269"/>
        <v>1+0.0246843887713441i</v>
      </c>
      <c r="U282" s="18">
        <f t="shared" si="282"/>
        <v>1.000304613129928</v>
      </c>
      <c r="V282" s="18">
        <f t="shared" si="283"/>
        <v>2.4679377047362661E-2</v>
      </c>
      <c r="W282" s="32" t="str">
        <f t="shared" si="270"/>
        <v>1-0.216059826485289i</v>
      </c>
      <c r="X282" s="18">
        <f t="shared" si="284"/>
        <v>1.0230747033432372</v>
      </c>
      <c r="Y282" s="18">
        <f t="shared" si="285"/>
        <v>-0.21278893963073281</v>
      </c>
      <c r="Z282" s="32" t="str">
        <f t="shared" si="271"/>
        <v>0.999523634820509+0.0520200637440548i</v>
      </c>
      <c r="AA282" s="18">
        <f t="shared" si="286"/>
        <v>1.0008764077530941</v>
      </c>
      <c r="AB282" s="18">
        <f t="shared" si="287"/>
        <v>5.199794159428156E-2</v>
      </c>
      <c r="AC282" s="32" t="str">
        <f>IMDIV(IMSUM(COMPLEX(0,2*PI()*O282*Constants!$B$61*Constants!$B$62),COMPLEX(1,0)),IMSUM(COMPLEX(0,2*PI()*O282*Constants!$B$61*Constants!$B$62),COMPLEX(2,0)))</f>
        <v>0.501499978070597+0.0273448185418421i</v>
      </c>
      <c r="AD282" s="18">
        <f t="shared" si="288"/>
        <v>0.50224492740683357</v>
      </c>
      <c r="AE282" s="18">
        <f t="shared" si="289"/>
        <v>5.4472120493925545E-2</v>
      </c>
      <c r="AF282" s="66" t="str">
        <f t="shared" si="290"/>
        <v>-0.122986976373452-0.878118998809922i</v>
      </c>
      <c r="AG282" s="64">
        <f t="shared" si="291"/>
        <v>-1.0445659080752918</v>
      </c>
      <c r="AH282" s="61">
        <f t="shared" si="292"/>
        <v>-97.972830326946905</v>
      </c>
      <c r="AI282" s="50" t="str">
        <f t="shared" si="272"/>
        <v>107.538871525172</v>
      </c>
      <c r="AJ282" s="50" t="str">
        <f t="shared" si="273"/>
        <v>1+20.4367504438077i</v>
      </c>
      <c r="AK282" s="50">
        <f t="shared" si="293"/>
        <v>20.461201545913042</v>
      </c>
      <c r="AL282" s="50">
        <f t="shared" si="294"/>
        <v>1.5219038645883536</v>
      </c>
      <c r="AM282" s="50" t="str">
        <f t="shared" si="274"/>
        <v>1+0.0246843887713441i</v>
      </c>
      <c r="AN282" s="50">
        <f t="shared" si="295"/>
        <v>1.000304613129928</v>
      </c>
      <c r="AO282" s="50">
        <f t="shared" si="296"/>
        <v>2.4679377047362661E-2</v>
      </c>
      <c r="AP282" s="50" t="str">
        <f t="shared" si="275"/>
        <v>1-0.0709718961718668i</v>
      </c>
      <c r="AQ282" s="50">
        <f t="shared" si="297"/>
        <v>1.0025153415515546</v>
      </c>
      <c r="AR282" s="50">
        <f t="shared" si="298"/>
        <v>-7.0853092962145689E-2</v>
      </c>
      <c r="AS282" s="59" t="str">
        <f t="shared" si="299"/>
        <v>0.014329326801871-5.27055118744286i</v>
      </c>
      <c r="AT282" s="50">
        <f t="shared" si="300"/>
        <v>14.437152812152833</v>
      </c>
      <c r="AU282" s="61">
        <f t="shared" si="301"/>
        <v>-89.844227311915319</v>
      </c>
      <c r="AV282" s="32" t="str">
        <f t="shared" si="276"/>
        <v>-0.0000333333333333333</v>
      </c>
      <c r="AW282" s="32" t="str">
        <f t="shared" si="277"/>
        <v>0.00131650073447169i</v>
      </c>
      <c r="AX282" s="32">
        <f t="shared" si="302"/>
        <v>1.31650073447169E-3</v>
      </c>
      <c r="AY282" s="32">
        <f t="shared" si="303"/>
        <v>1.5707963267948966</v>
      </c>
      <c r="AZ282" s="32" t="str">
        <f t="shared" si="278"/>
        <v>1+0.537114014932025i</v>
      </c>
      <c r="BA282" s="32">
        <f t="shared" si="304"/>
        <v>1.1351173794090195</v>
      </c>
      <c r="BB282" s="32">
        <f t="shared" si="305"/>
        <v>0.49289614156093287</v>
      </c>
      <c r="BC282" s="32" t="str">
        <f t="shared" si="279"/>
        <v>1+25.7814727167373i</v>
      </c>
      <c r="BD282" s="32">
        <f t="shared" si="306"/>
        <v>25.800859199721817</v>
      </c>
      <c r="BE282" s="32">
        <f t="shared" si="307"/>
        <v>1.5320282171526995</v>
      </c>
      <c r="BF282" s="59" t="str">
        <f t="shared" si="308"/>
        <v>-0.496067112654629+0.291764245144451i</v>
      </c>
      <c r="BG282" s="50">
        <f t="shared" si="309"/>
        <v>-4.7989792956991746</v>
      </c>
      <c r="BH282" s="61">
        <f t="shared" si="310"/>
        <v>149.53788228807741</v>
      </c>
      <c r="BI282" s="59" t="str">
        <f t="shared" si="311"/>
        <v>0.317213521098479+0.399722753982613i</v>
      </c>
      <c r="BJ282" s="64">
        <f t="shared" si="312"/>
        <v>-5.8435452037744673</v>
      </c>
      <c r="BK282" s="61">
        <f t="shared" si="313"/>
        <v>51.565051961130557</v>
      </c>
      <c r="BL282" s="59" t="str">
        <f t="shared" si="265"/>
        <v>1.53065008092657+2.61872789487098i</v>
      </c>
      <c r="BM282" s="64">
        <f t="shared" si="314"/>
        <v>9.6381735164536604</v>
      </c>
      <c r="BN282" s="61">
        <f t="shared" si="266"/>
        <v>59.693654976162065</v>
      </c>
      <c r="BO282" s="50">
        <f t="shared" si="315"/>
        <v>-5.8435452037744673</v>
      </c>
      <c r="BP282" s="61">
        <f t="shared" si="316"/>
        <v>51.565051961130557</v>
      </c>
    </row>
    <row r="283" spans="14:68" x14ac:dyDescent="0.25">
      <c r="N283" s="11">
        <v>65</v>
      </c>
      <c r="O283" s="51">
        <f t="shared" si="264"/>
        <v>4466.8359215096343</v>
      </c>
      <c r="P283" s="49" t="str">
        <f t="shared" si="267"/>
        <v>37.1583961085025</v>
      </c>
      <c r="Q283" s="18" t="str">
        <f t="shared" si="268"/>
        <v>1+21.9983761041653i</v>
      </c>
      <c r="R283" s="18">
        <f t="shared" si="280"/>
        <v>22.021093324817251</v>
      </c>
      <c r="S283" s="18">
        <f t="shared" si="281"/>
        <v>1.5253696988878316</v>
      </c>
      <c r="T283" s="18" t="str">
        <f t="shared" si="269"/>
        <v>1+0.0252593620484502i</v>
      </c>
      <c r="U283" s="18">
        <f t="shared" si="282"/>
        <v>1.0003189668156325</v>
      </c>
      <c r="V283" s="18">
        <f t="shared" si="283"/>
        <v>2.5253991981929711E-2</v>
      </c>
      <c r="W283" s="32" t="str">
        <f t="shared" si="270"/>
        <v>1-0.221092506355791i</v>
      </c>
      <c r="X283" s="18">
        <f t="shared" si="284"/>
        <v>1.0241493525686014</v>
      </c>
      <c r="Y283" s="18">
        <f t="shared" si="285"/>
        <v>-0.21759213591370402</v>
      </c>
      <c r="Z283" s="32" t="str">
        <f t="shared" si="271"/>
        <v>0.999501184421258+0.0532317666872894i</v>
      </c>
      <c r="AA283" s="18">
        <f t="shared" si="286"/>
        <v>1.0009176982370467</v>
      </c>
      <c r="AB283" s="18">
        <f t="shared" si="287"/>
        <v>5.3208063431394746E-2</v>
      </c>
      <c r="AC283" s="32" t="str">
        <f>IMDIV(IMSUM(COMPLEX(0,2*PI()*O283*Constants!$B$61*Constants!$B$62),COMPLEX(1,0)),IMSUM(COMPLEX(0,2*PI()*O283*Constants!$B$61*Constants!$B$62),COMPLEX(2,0)))</f>
        <v>0.501570447823641+0.0279778055868211i</v>
      </c>
      <c r="AD283" s="18">
        <f t="shared" si="288"/>
        <v>0.5023501485373143</v>
      </c>
      <c r="AE283" s="18">
        <f t="shared" si="289"/>
        <v>5.5722665757156328E-2</v>
      </c>
      <c r="AF283" s="66" t="str">
        <f t="shared" si="290"/>
        <v>-0.124846307075272-0.858587583547322i</v>
      </c>
      <c r="AG283" s="64">
        <f t="shared" si="291"/>
        <v>-1.2334390545679723</v>
      </c>
      <c r="AH283" s="61">
        <f t="shared" si="292"/>
        <v>-98.273333729664529</v>
      </c>
      <c r="AI283" s="50" t="str">
        <f t="shared" si="272"/>
        <v>107.538871525172</v>
      </c>
      <c r="AJ283" s="50" t="str">
        <f t="shared" si="273"/>
        <v>1+20.912783514139i</v>
      </c>
      <c r="AK283" s="50">
        <f t="shared" si="293"/>
        <v>20.936678683813341</v>
      </c>
      <c r="AL283" s="50">
        <f t="shared" si="294"/>
        <v>1.5230150800935782</v>
      </c>
      <c r="AM283" s="50" t="str">
        <f t="shared" si="274"/>
        <v>1+0.0252593620484502i</v>
      </c>
      <c r="AN283" s="50">
        <f t="shared" si="295"/>
        <v>1.0003189668156325</v>
      </c>
      <c r="AO283" s="50">
        <f t="shared" si="296"/>
        <v>2.5253991981929711E-2</v>
      </c>
      <c r="AP283" s="50" t="str">
        <f t="shared" si="275"/>
        <v>1-0.0726250440015486i</v>
      </c>
      <c r="AQ283" s="50">
        <f t="shared" si="297"/>
        <v>1.0026337302406232</v>
      </c>
      <c r="AR283" s="50">
        <f t="shared" si="298"/>
        <v>-7.2497762122034806E-2</v>
      </c>
      <c r="AS283" s="59" t="str">
        <f t="shared" si="299"/>
        <v>0.00276884095517919-5.15155615773715i</v>
      </c>
      <c r="AT283" s="50">
        <f t="shared" si="300"/>
        <v>14.238770024280729</v>
      </c>
      <c r="AU283" s="61">
        <f t="shared" si="301"/>
        <v>-89.969204861455282</v>
      </c>
      <c r="AV283" s="32" t="str">
        <f t="shared" si="276"/>
        <v>-0.0000333333333333333</v>
      </c>
      <c r="AW283" s="32" t="str">
        <f t="shared" si="277"/>
        <v>0.00134716597591734i</v>
      </c>
      <c r="AX283" s="32">
        <f t="shared" si="302"/>
        <v>1.34716597591734E-3</v>
      </c>
      <c r="AY283" s="32">
        <f t="shared" si="303"/>
        <v>1.5707963267948966</v>
      </c>
      <c r="AZ283" s="32" t="str">
        <f t="shared" si="278"/>
        <v>1+0.549625007535722i</v>
      </c>
      <c r="BA283" s="32">
        <f t="shared" si="304"/>
        <v>1.1410905524578856</v>
      </c>
      <c r="BB283" s="32">
        <f t="shared" si="305"/>
        <v>0.50255526325651512</v>
      </c>
      <c r="BC283" s="32" t="str">
        <f t="shared" si="279"/>
        <v>1+26.3820003617147i</v>
      </c>
      <c r="BD283" s="32">
        <f t="shared" si="306"/>
        <v>26.40094587482643</v>
      </c>
      <c r="BE283" s="32">
        <f t="shared" si="307"/>
        <v>1.5329098330352131</v>
      </c>
      <c r="BF283" s="59" t="str">
        <f t="shared" si="308"/>
        <v>-0.490887261910883+0.294547216096922i</v>
      </c>
      <c r="BG283" s="50">
        <f t="shared" si="309"/>
        <v>-4.8448596678019022</v>
      </c>
      <c r="BH283" s="61">
        <f t="shared" si="310"/>
        <v>149.03496825033707</v>
      </c>
      <c r="BI283" s="59" t="str">
        <f t="shared" si="311"/>
        <v>0.314180044349113+0.384696575809224i</v>
      </c>
      <c r="BJ283" s="64">
        <f t="shared" si="312"/>
        <v>-6.0782987223698646</v>
      </c>
      <c r="BK283" s="61">
        <f t="shared" si="313"/>
        <v>50.761634520672558</v>
      </c>
      <c r="BL283" s="59" t="str">
        <f t="shared" si="265"/>
        <v>1.51601733607328+2.5296488512469i</v>
      </c>
      <c r="BM283" s="64">
        <f t="shared" si="314"/>
        <v>9.3939103564788233</v>
      </c>
      <c r="BN283" s="61">
        <f t="shared" si="266"/>
        <v>59.06576338888177</v>
      </c>
      <c r="BO283" s="50">
        <f t="shared" si="315"/>
        <v>-6.0782987223698646</v>
      </c>
      <c r="BP283" s="61">
        <f t="shared" si="316"/>
        <v>50.761634520672558</v>
      </c>
    </row>
    <row r="284" spans="14:68" x14ac:dyDescent="0.25">
      <c r="N284" s="11">
        <v>66</v>
      </c>
      <c r="O284" s="51">
        <f t="shared" ref="O284:O318" si="317">10^(3+(N284/100))</f>
        <v>4570.8818961487532</v>
      </c>
      <c r="P284" s="49" t="str">
        <f t="shared" si="267"/>
        <v>37.1583961085025</v>
      </c>
      <c r="Q284" s="18" t="str">
        <f t="shared" si="268"/>
        <v>1+22.5107841089487i</v>
      </c>
      <c r="R284" s="18">
        <f t="shared" si="280"/>
        <v>22.532984737928025</v>
      </c>
      <c r="S284" s="18">
        <f t="shared" si="281"/>
        <v>1.5264023613318152</v>
      </c>
      <c r="T284" s="18" t="str">
        <f t="shared" si="269"/>
        <v>1+0.0258477281736615i</v>
      </c>
      <c r="U284" s="18">
        <f t="shared" si="282"/>
        <v>1.0003339967489555</v>
      </c>
      <c r="V284" s="18">
        <f t="shared" si="283"/>
        <v>2.5841974147472215E-2</v>
      </c>
      <c r="W284" s="32" t="str">
        <f t="shared" si="270"/>
        <v>1-0.226242412399669i</v>
      </c>
      <c r="X284" s="18">
        <f t="shared" si="284"/>
        <v>1.025273441169926</v>
      </c>
      <c r="Y284" s="18">
        <f t="shared" si="285"/>
        <v>-0.22249667324532185</v>
      </c>
      <c r="Z284" s="32" t="str">
        <f t="shared" si="271"/>
        <v>0.999477675967287+0.0544716938178273i</v>
      </c>
      <c r="AA284" s="18">
        <f t="shared" si="286"/>
        <v>1.0009609333956808</v>
      </c>
      <c r="AB284" s="18">
        <f t="shared" si="287"/>
        <v>5.4446296504756977E-2</v>
      </c>
      <c r="AC284" s="32" t="str">
        <f>IMDIV(IMSUM(COMPLEX(0,2*PI()*O284*Constants!$B$61*Constants!$B$62),COMPLEX(1,0)),IMSUM(COMPLEX(0,2*PI()*O284*Constants!$B$61*Constants!$B$62),COMPLEX(2,0)))</f>
        <v>0.501644217362684+0.0286252551186259i</v>
      </c>
      <c r="AD284" s="18">
        <f t="shared" si="288"/>
        <v>0.50246027310029817</v>
      </c>
      <c r="AE284" s="18">
        <f t="shared" si="289"/>
        <v>5.7001047994261582E-2</v>
      </c>
      <c r="AF284" s="66" t="str">
        <f t="shared" si="290"/>
        <v>-0.126626117512008-0.839503691059614i</v>
      </c>
      <c r="AG284" s="64">
        <f t="shared" si="291"/>
        <v>-1.4218484790272632</v>
      </c>
      <c r="AH284" s="61">
        <f t="shared" si="292"/>
        <v>-98.577520944784467</v>
      </c>
      <c r="AI284" s="50" t="str">
        <f t="shared" si="272"/>
        <v>107.538871525172</v>
      </c>
      <c r="AJ284" s="50" t="str">
        <f t="shared" si="273"/>
        <v>1+21.3999048191029i</v>
      </c>
      <c r="AK284" s="50">
        <f t="shared" si="293"/>
        <v>21.423256668085354</v>
      </c>
      <c r="AL284" s="50">
        <f t="shared" si="294"/>
        <v>1.5241011153667843</v>
      </c>
      <c r="AM284" s="50" t="str">
        <f t="shared" si="274"/>
        <v>1+0.0258477281736615i</v>
      </c>
      <c r="AN284" s="50">
        <f t="shared" si="295"/>
        <v>1.0003339967489555</v>
      </c>
      <c r="AO284" s="50">
        <f t="shared" si="296"/>
        <v>2.5841974147472215E-2</v>
      </c>
      <c r="AP284" s="50" t="str">
        <f t="shared" si="275"/>
        <v>1-0.0743166985908661i</v>
      </c>
      <c r="AQ284" s="50">
        <f t="shared" si="297"/>
        <v>1.0027576834357568</v>
      </c>
      <c r="AR284" s="50">
        <f t="shared" si="298"/>
        <v>-7.4180333848816976E-2</v>
      </c>
      <c r="AS284" s="59" t="str">
        <f t="shared" si="299"/>
        <v>-0.00827365810085151-5.03524288678911i</v>
      </c>
      <c r="AT284" s="50">
        <f t="shared" si="300"/>
        <v>14.040420217903344</v>
      </c>
      <c r="AU284" s="61">
        <f t="shared" si="301"/>
        <v>-90.094145461170427</v>
      </c>
      <c r="AV284" s="32" t="str">
        <f t="shared" si="276"/>
        <v>-0.0000333333333333333</v>
      </c>
      <c r="AW284" s="32" t="str">
        <f t="shared" si="277"/>
        <v>0.00137854550259528i</v>
      </c>
      <c r="AX284" s="32">
        <f t="shared" si="302"/>
        <v>1.37854550259528E-3</v>
      </c>
      <c r="AY284" s="32">
        <f t="shared" si="303"/>
        <v>1.5707963267948966</v>
      </c>
      <c r="AZ284" s="32" t="str">
        <f t="shared" si="278"/>
        <v>1+0.562427418593561i</v>
      </c>
      <c r="BA284" s="32">
        <f t="shared" si="304"/>
        <v>1.1473119023115801</v>
      </c>
      <c r="BB284" s="32">
        <f t="shared" si="305"/>
        <v>0.51233432257686873</v>
      </c>
      <c r="BC284" s="32" t="str">
        <f t="shared" si="279"/>
        <v>1+26.996516092491i</v>
      </c>
      <c r="BD284" s="32">
        <f t="shared" si="306"/>
        <v>27.015030652067111</v>
      </c>
      <c r="BE284" s="32">
        <f t="shared" si="307"/>
        <v>1.5337714378298815</v>
      </c>
      <c r="BF284" s="59" t="str">
        <f t="shared" si="308"/>
        <v>-0.485577979903236+0.297282444537737i</v>
      </c>
      <c r="BG284" s="50">
        <f t="shared" si="309"/>
        <v>-4.8923678966083717</v>
      </c>
      <c r="BH284" s="61">
        <f t="shared" si="310"/>
        <v>148.52403574201543</v>
      </c>
      <c r="BI284" s="59" t="str">
        <f t="shared" si="311"/>
        <v>0.311056563821126+0.370000784669745i</v>
      </c>
      <c r="BJ284" s="64">
        <f t="shared" si="312"/>
        <v>-6.3142163756356364</v>
      </c>
      <c r="BK284" s="61">
        <f t="shared" si="313"/>
        <v>49.946514797230918</v>
      </c>
      <c r="BL284" s="59" t="str">
        <f t="shared" si="265"/>
        <v>1.50090682041294+2.4425434559837i</v>
      </c>
      <c r="BM284" s="64">
        <f t="shared" si="314"/>
        <v>9.148052321294962</v>
      </c>
      <c r="BN284" s="61">
        <f t="shared" si="266"/>
        <v>58.429890280844965</v>
      </c>
      <c r="BO284" s="50">
        <f t="shared" si="315"/>
        <v>-6.3142163756356364</v>
      </c>
      <c r="BP284" s="61">
        <f t="shared" si="316"/>
        <v>49.946514797230918</v>
      </c>
    </row>
    <row r="285" spans="14:68" x14ac:dyDescent="0.25">
      <c r="N285" s="11">
        <v>67</v>
      </c>
      <c r="O285" s="51">
        <f t="shared" si="317"/>
        <v>4677.3514128719844</v>
      </c>
      <c r="P285" s="49" t="str">
        <f t="shared" si="267"/>
        <v>37.1583961085025</v>
      </c>
      <c r="Q285" s="18" t="str">
        <f t="shared" si="268"/>
        <v>1+23.0351276294322i</v>
      </c>
      <c r="R285" s="18">
        <f t="shared" si="280"/>
        <v>23.056823391443814</v>
      </c>
      <c r="S285" s="18">
        <f t="shared" si="281"/>
        <v>1.5274116090677019</v>
      </c>
      <c r="T285" s="18" t="str">
        <f t="shared" si="269"/>
        <v>1+0.0264497991064856i</v>
      </c>
      <c r="U285" s="18">
        <f t="shared" si="282"/>
        <v>1.0003497347791788</v>
      </c>
      <c r="V285" s="18">
        <f t="shared" si="283"/>
        <v>2.6443633672754027E-2</v>
      </c>
      <c r="W285" s="32" t="str">
        <f t="shared" si="270"/>
        <v>1-0.231512275165274i</v>
      </c>
      <c r="X285" s="18">
        <f t="shared" si="284"/>
        <v>1.026449187028857</v>
      </c>
      <c r="Y285" s="18">
        <f t="shared" si="285"/>
        <v>-0.22750420783856978</v>
      </c>
      <c r="Z285" s="32" t="str">
        <f t="shared" si="271"/>
        <v>0.999453059594013+0.0557405025614455i</v>
      </c>
      <c r="AA285" s="18">
        <f t="shared" si="286"/>
        <v>1.0010062047548138</v>
      </c>
      <c r="AB285" s="18">
        <f t="shared" si="287"/>
        <v>5.5713290177627779E-2</v>
      </c>
      <c r="AC285" s="32" t="str">
        <f>IMDIV(IMSUM(COMPLEX(0,2*PI()*O285*Constants!$B$61*Constants!$B$62),COMPLEX(1,0)),IMSUM(COMPLEX(0,2*PI()*O285*Constants!$B$61*Constants!$B$62),COMPLEX(2,0)))</f>
        <v>0.501721440152329+0.0292874840156442i</v>
      </c>
      <c r="AD285" s="18">
        <f t="shared" si="288"/>
        <v>0.50257552688973395</v>
      </c>
      <c r="AE285" s="18">
        <f t="shared" si="289"/>
        <v>5.830782501180886E-2</v>
      </c>
      <c r="AF285" s="66" t="str">
        <f t="shared" si="290"/>
        <v>-0.128330135719949-0.820857676052865i</v>
      </c>
      <c r="AG285" s="64">
        <f t="shared" si="291"/>
        <v>-1.609772588773406</v>
      </c>
      <c r="AH285" s="61">
        <f t="shared" si="292"/>
        <v>-98.885505209245423</v>
      </c>
      <c r="AI285" s="50" t="str">
        <f t="shared" si="272"/>
        <v>107.538871525172</v>
      </c>
      <c r="AJ285" s="50" t="str">
        <f t="shared" si="273"/>
        <v>1+21.8983726368632i</v>
      </c>
      <c r="AK285" s="50">
        <f t="shared" si="293"/>
        <v>21.921193492666387</v>
      </c>
      <c r="AL285" s="50">
        <f t="shared" si="294"/>
        <v>1.5251625359848315</v>
      </c>
      <c r="AM285" s="50" t="str">
        <f t="shared" si="274"/>
        <v>1+0.0264497991064856i</v>
      </c>
      <c r="AN285" s="50">
        <f t="shared" si="295"/>
        <v>1.0003497347791788</v>
      </c>
      <c r="AO285" s="50">
        <f t="shared" si="296"/>
        <v>2.6443633672754027E-2</v>
      </c>
      <c r="AP285" s="50" t="str">
        <f t="shared" si="275"/>
        <v>1-0.0760477568774742i</v>
      </c>
      <c r="AQ285" s="50">
        <f t="shared" si="297"/>
        <v>1.0028874619448065</v>
      </c>
      <c r="AR285" s="50">
        <f t="shared" si="298"/>
        <v>-7.5901662135414744E-2</v>
      </c>
      <c r="AS285" s="59" t="str">
        <f t="shared" si="299"/>
        <v>-0.0188212800610745-4.92155300436508i</v>
      </c>
      <c r="AT285" s="50">
        <f t="shared" si="300"/>
        <v>13.842106849853561</v>
      </c>
      <c r="AU285" s="61">
        <f t="shared" si="301"/>
        <v>-90.219112677348761</v>
      </c>
      <c r="AV285" s="32" t="str">
        <f t="shared" si="276"/>
        <v>-0.0000333333333333333</v>
      </c>
      <c r="AW285" s="32" t="str">
        <f t="shared" si="277"/>
        <v>0.0014106559523459i</v>
      </c>
      <c r="AX285" s="32">
        <f t="shared" si="302"/>
        <v>1.4106559523459001E-3</v>
      </c>
      <c r="AY285" s="32">
        <f t="shared" si="303"/>
        <v>1.5707963267948966</v>
      </c>
      <c r="AZ285" s="32" t="str">
        <f t="shared" si="278"/>
        <v>1+0.575528036113345i</v>
      </c>
      <c r="BA285" s="32">
        <f t="shared" si="304"/>
        <v>1.1537905010670195</v>
      </c>
      <c r="BB285" s="32">
        <f t="shared" si="305"/>
        <v>0.52223102241758346</v>
      </c>
      <c r="BC285" s="32" t="str">
        <f t="shared" si="279"/>
        <v>1+27.6253457334406i</v>
      </c>
      <c r="BD285" s="32">
        <f t="shared" si="306"/>
        <v>27.64343912924231</v>
      </c>
      <c r="BE285" s="32">
        <f t="shared" si="307"/>
        <v>1.5346134832510629</v>
      </c>
      <c r="BF285" s="59" t="str">
        <f t="shared" si="308"/>
        <v>-0.480140194119883+0.299963812056407i</v>
      </c>
      <c r="BG285" s="50">
        <f t="shared" si="309"/>
        <v>-4.9415449369424973</v>
      </c>
      <c r="BH285" s="61">
        <f t="shared" si="310"/>
        <v>148.0052422588268</v>
      </c>
      <c r="BI285" s="59" t="str">
        <f t="shared" si="311"/>
        <v>0.307844053940588+0.355632367212547i</v>
      </c>
      <c r="BJ285" s="64">
        <f t="shared" si="312"/>
        <v>-6.5513175257158975</v>
      </c>
      <c r="BK285" s="61">
        <f t="shared" si="313"/>
        <v>49.119737049581381</v>
      </c>
      <c r="BL285" s="59" t="str">
        <f t="shared" si="265"/>
        <v>1.48532465348912+2.35738971197224i</v>
      </c>
      <c r="BM285" s="64">
        <f t="shared" si="314"/>
        <v>8.9005619129110567</v>
      </c>
      <c r="BN285" s="61">
        <f t="shared" si="266"/>
        <v>57.786129581478022</v>
      </c>
      <c r="BO285" s="50">
        <f t="shared" si="315"/>
        <v>-6.5513175257158975</v>
      </c>
      <c r="BP285" s="61">
        <f t="shared" si="316"/>
        <v>49.119737049581381</v>
      </c>
    </row>
    <row r="286" spans="14:68" x14ac:dyDescent="0.25">
      <c r="N286" s="11">
        <v>68</v>
      </c>
      <c r="O286" s="51">
        <f t="shared" si="317"/>
        <v>4786.3009232263848</v>
      </c>
      <c r="P286" s="49" t="str">
        <f t="shared" si="267"/>
        <v>37.1583961085025</v>
      </c>
      <c r="Q286" s="18" t="str">
        <f t="shared" si="268"/>
        <v>1+23.5716846794908i</v>
      </c>
      <c r="R286" s="18">
        <f t="shared" si="280"/>
        <v>23.592887034641212</v>
      </c>
      <c r="S286" s="18">
        <f t="shared" si="281"/>
        <v>1.5283979689833129</v>
      </c>
      <c r="T286" s="18" t="str">
        <f t="shared" si="269"/>
        <v>1+0.0270658940729005i</v>
      </c>
      <c r="U286" s="18">
        <f t="shared" si="282"/>
        <v>1.0003662142545426</v>
      </c>
      <c r="V286" s="18">
        <f t="shared" si="283"/>
        <v>2.7059287822243577E-2</v>
      </c>
      <c r="W286" s="32" t="str">
        <f t="shared" si="270"/>
        <v>1-0.236904888803599i</v>
      </c>
      <c r="X286" s="18">
        <f t="shared" si="284"/>
        <v>1.027678902351822</v>
      </c>
      <c r="Y286" s="18">
        <f t="shared" si="285"/>
        <v>-0.23261638977594187</v>
      </c>
      <c r="Z286" s="32" t="str">
        <f t="shared" si="271"/>
        <v>0.999427283086808+0.0570388656573347i</v>
      </c>
      <c r="AA286" s="18">
        <f t="shared" si="286"/>
        <v>1.0010536081418189</v>
      </c>
      <c r="AB286" s="18">
        <f t="shared" si="287"/>
        <v>5.7009708551961961E-2</v>
      </c>
      <c r="AC286" s="32" t="str">
        <f>IMDIV(IMSUM(COMPLEX(0,2*PI()*O286*Constants!$B$61*Constants!$B$62),COMPLEX(1,0)),IMSUM(COMPLEX(0,2*PI()*O286*Constants!$B$61*Constants!$B$62),COMPLEX(2,0)))</f>
        <v>0.501802276693544+0.0299648151252726i</v>
      </c>
      <c r="AD286" s="18">
        <f t="shared" si="288"/>
        <v>0.50269614583793643</v>
      </c>
      <c r="AE286" s="18">
        <f t="shared" si="289"/>
        <v>5.964356134570821E-2</v>
      </c>
      <c r="AF286" s="66" t="str">
        <f t="shared" si="290"/>
        <v>-0.1299619326105-0.802640091228183i</v>
      </c>
      <c r="AG286" s="64">
        <f t="shared" si="291"/>
        <v>-1.7971890308711687</v>
      </c>
      <c r="AH286" s="61">
        <f t="shared" si="292"/>
        <v>-99.197398781057586</v>
      </c>
      <c r="AI286" s="50" t="str">
        <f t="shared" si="272"/>
        <v>107.538871525172</v>
      </c>
      <c r="AJ286" s="50" t="str">
        <f t="shared" si="273"/>
        <v>1+22.4084512616547i</v>
      </c>
      <c r="AK286" s="50">
        <f t="shared" si="293"/>
        <v>22.430753173844924</v>
      </c>
      <c r="AL286" s="50">
        <f t="shared" si="294"/>
        <v>1.5261998951550506</v>
      </c>
      <c r="AM286" s="50" t="str">
        <f t="shared" si="274"/>
        <v>1+0.0270658940729005i</v>
      </c>
      <c r="AN286" s="50">
        <f t="shared" si="295"/>
        <v>1.0003662142545426</v>
      </c>
      <c r="AO286" s="50">
        <f t="shared" si="296"/>
        <v>2.7059287822243577E-2</v>
      </c>
      <c r="AP286" s="50" t="str">
        <f t="shared" si="275"/>
        <v>1-0.0778191366913899i</v>
      </c>
      <c r="AQ286" s="50">
        <f t="shared" si="297"/>
        <v>1.0030233387291609</v>
      </c>
      <c r="AR286" s="50">
        <f t="shared" si="298"/>
        <v>-7.7662618828067201E-2</v>
      </c>
      <c r="AS286" s="59" t="str">
        <f t="shared" si="299"/>
        <v>-0.0288961123390466-4.81042931243479i</v>
      </c>
      <c r="AT286" s="50">
        <f t="shared" si="300"/>
        <v>13.643833451255301</v>
      </c>
      <c r="AU286" s="61">
        <f t="shared" si="301"/>
        <v>-90.344169981630316</v>
      </c>
      <c r="AV286" s="32" t="str">
        <f t="shared" si="276"/>
        <v>-0.0000333333333333333</v>
      </c>
      <c r="AW286" s="32" t="str">
        <f t="shared" si="277"/>
        <v>0.00144351435055469i</v>
      </c>
      <c r="AX286" s="32">
        <f t="shared" si="302"/>
        <v>1.44351435055469E-3</v>
      </c>
      <c r="AY286" s="32">
        <f t="shared" si="303"/>
        <v>1.5707963267948966</v>
      </c>
      <c r="AZ286" s="32" t="str">
        <f t="shared" si="278"/>
        <v>1+0.588933806215891i</v>
      </c>
      <c r="BA286" s="32">
        <f t="shared" si="304"/>
        <v>1.1605356642964217</v>
      </c>
      <c r="BB286" s="32">
        <f t="shared" si="305"/>
        <v>0.53224285485207623</v>
      </c>
      <c r="BC286" s="32" t="str">
        <f t="shared" si="279"/>
        <v>1+28.2688226983628i</v>
      </c>
      <c r="BD286" s="32">
        <f t="shared" si="306"/>
        <v>28.28650449863807</v>
      </c>
      <c r="BE286" s="32">
        <f t="shared" si="307"/>
        <v>1.5354364109833047</v>
      </c>
      <c r="BF286" s="59" t="str">
        <f t="shared" si="308"/>
        <v>-0.47457515642381+0.302585145347634i</v>
      </c>
      <c r="BG286" s="50">
        <f t="shared" si="309"/>
        <v>-4.9924313764497903</v>
      </c>
      <c r="BH286" s="61">
        <f t="shared" si="310"/>
        <v>147.47875680103985</v>
      </c>
      <c r="BI286" s="59" t="str">
        <f t="shared" si="311"/>
        <v>0.304543673163887+0.341588496578029i</v>
      </c>
      <c r="BJ286" s="64">
        <f t="shared" si="312"/>
        <v>-6.7896204073209496</v>
      </c>
      <c r="BK286" s="61">
        <f t="shared" si="313"/>
        <v>48.281358019982271</v>
      </c>
      <c r="BL286" s="59" t="str">
        <f t="shared" si="265"/>
        <v>1.46927782972094+2.27416670906233i</v>
      </c>
      <c r="BM286" s="64">
        <f t="shared" si="314"/>
        <v>8.6514020748055049</v>
      </c>
      <c r="BN286" s="61">
        <f t="shared" si="266"/>
        <v>57.134586819409591</v>
      </c>
      <c r="BO286" s="50">
        <f t="shared" si="315"/>
        <v>-6.7896204073209496</v>
      </c>
      <c r="BP286" s="61">
        <f t="shared" si="316"/>
        <v>48.281358019982271</v>
      </c>
    </row>
    <row r="287" spans="14:68" x14ac:dyDescent="0.25">
      <c r="N287" s="11">
        <v>69</v>
      </c>
      <c r="O287" s="51">
        <f t="shared" si="317"/>
        <v>4897.7881936844633</v>
      </c>
      <c r="P287" s="49" t="str">
        <f t="shared" si="267"/>
        <v>37.1583961085025</v>
      </c>
      <c r="Q287" s="18" t="str">
        <f t="shared" si="268"/>
        <v>1+24.1207397487745i</v>
      </c>
      <c r="R287" s="18">
        <f t="shared" si="280"/>
        <v>24.141459898442559</v>
      </c>
      <c r="S287" s="18">
        <f t="shared" si="281"/>
        <v>1.529361956378275</v>
      </c>
      <c r="T287" s="18" t="str">
        <f t="shared" si="269"/>
        <v>1+0.0276963397346123i</v>
      </c>
      <c r="U287" s="18">
        <f t="shared" si="282"/>
        <v>1.0003834700926915</v>
      </c>
      <c r="V287" s="18">
        <f t="shared" si="283"/>
        <v>2.7689261156039754E-2</v>
      </c>
      <c r="W287" s="32" t="str">
        <f t="shared" si="270"/>
        <v>1-0.242423112549774i</v>
      </c>
      <c r="X287" s="18">
        <f t="shared" si="284"/>
        <v>1.0289649972172621</v>
      </c>
      <c r="Y287" s="18">
        <f t="shared" si="285"/>
        <v>-0.23783486029906875</v>
      </c>
      <c r="Z287" s="32" t="str">
        <f t="shared" si="271"/>
        <v>0.999400291770245+0.058367471514794i</v>
      </c>
      <c r="AA287" s="18">
        <f t="shared" si="286"/>
        <v>1.0011032438872032</v>
      </c>
      <c r="AB287" s="18">
        <f t="shared" si="287"/>
        <v>5.8336230784232813E-2</v>
      </c>
      <c r="AC287" s="32" t="str">
        <f>IMDIV(IMSUM(COMPLEX(0,2*PI()*O287*Constants!$B$61*Constants!$B$62),COMPLEX(1,0)),IMSUM(COMPLEX(0,2*PI()*O287*Constants!$B$61*Constants!$B$62),COMPLEX(2,0)))</f>
        <v>0.501886894836569+0.0306575773041533i</v>
      </c>
      <c r="AD287" s="18">
        <f t="shared" si="288"/>
        <v>0.50282237644605021</v>
      </c>
      <c r="AE287" s="18">
        <f t="shared" si="289"/>
        <v>6.1008827995704742E-2</v>
      </c>
      <c r="AF287" s="66" t="str">
        <f t="shared" si="290"/>
        <v>-0.131524929178768-0.784841684334882i</v>
      </c>
      <c r="AG287" s="64">
        <f t="shared" si="291"/>
        <v>-1.9840746681931911</v>
      </c>
      <c r="AH287" s="61">
        <f t="shared" si="292"/>
        <v>-99.513312821933653</v>
      </c>
      <c r="AI287" s="50" t="str">
        <f t="shared" si="272"/>
        <v>107.538871525172</v>
      </c>
      <c r="AJ287" s="50" t="str">
        <f t="shared" si="273"/>
        <v>1+22.9304111439161i</v>
      </c>
      <c r="AK287" s="50">
        <f t="shared" si="293"/>
        <v>22.952205890263176</v>
      </c>
      <c r="AL287" s="50">
        <f t="shared" si="294"/>
        <v>1.5272137339633882</v>
      </c>
      <c r="AM287" s="50" t="str">
        <f t="shared" si="274"/>
        <v>1+0.0276963397346123i</v>
      </c>
      <c r="AN287" s="50">
        <f t="shared" si="295"/>
        <v>1.0003834700926915</v>
      </c>
      <c r="AO287" s="50">
        <f t="shared" si="296"/>
        <v>2.7689261156039754E-2</v>
      </c>
      <c r="AP287" s="50" t="str">
        <f t="shared" si="275"/>
        <v>1-0.0796317772416375i</v>
      </c>
      <c r="AQ287" s="50">
        <f t="shared" si="297"/>
        <v>1.0031655994633497</v>
      </c>
      <c r="AR287" s="50">
        <f t="shared" si="298"/>
        <v>-7.9464093899532892E-2</v>
      </c>
      <c r="AS287" s="59" t="str">
        <f t="shared" si="299"/>
        <v>-0.0385192645195559-4.7018157692769i</v>
      </c>
      <c r="AT287" s="50">
        <f t="shared" si="300"/>
        <v>13.445603634625238</v>
      </c>
      <c r="AU287" s="61">
        <f t="shared" si="301"/>
        <v>-90.469380771715336</v>
      </c>
      <c r="AV287" s="32" t="str">
        <f t="shared" si="276"/>
        <v>-0.0000333333333333333</v>
      </c>
      <c r="AW287" s="32" t="str">
        <f t="shared" si="277"/>
        <v>0.00147713811917932i</v>
      </c>
      <c r="AX287" s="32">
        <f t="shared" si="302"/>
        <v>1.4771381191793201E-3</v>
      </c>
      <c r="AY287" s="32">
        <f t="shared" si="303"/>
        <v>1.5707963267948966</v>
      </c>
      <c r="AZ287" s="32" t="str">
        <f t="shared" si="278"/>
        <v>1+0.602651836817954i</v>
      </c>
      <c r="BA287" s="32">
        <f t="shared" si="304"/>
        <v>1.1675569521098548</v>
      </c>
      <c r="BB287" s="32">
        <f t="shared" si="305"/>
        <v>0.54236709926777948</v>
      </c>
      <c r="BC287" s="32" t="str">
        <f t="shared" si="279"/>
        <v>1+28.9272881672618i</v>
      </c>
      <c r="BD287" s="32">
        <f t="shared" si="306"/>
        <v>28.944567723699112</v>
      </c>
      <c r="BE287" s="32">
        <f t="shared" si="307"/>
        <v>1.5362406528928776</v>
      </c>
      <c r="BF287" s="59" t="str">
        <f t="shared" si="308"/>
        <v>-0.468884453943696+0.305140236201805i</v>
      </c>
      <c r="BG287" s="50">
        <f t="shared" si="309"/>
        <v>-5.0450673335438907</v>
      </c>
      <c r="BH287" s="61">
        <f t="shared" si="310"/>
        <v>146.94475999238719</v>
      </c>
      <c r="BI287" s="59" t="str">
        <f t="shared" si="311"/>
        <v>0.301156771536938+0.327866516635577i</v>
      </c>
      <c r="BJ287" s="64">
        <f t="shared" si="312"/>
        <v>-7.0291420017370845</v>
      </c>
      <c r="BK287" s="61">
        <f t="shared" si="313"/>
        <v>47.431447170453566</v>
      </c>
      <c r="BL287" s="59" t="str">
        <f t="shared" si="265"/>
        <v>1.45277425872509+2.19285454204744i</v>
      </c>
      <c r="BM287" s="64">
        <f t="shared" si="314"/>
        <v>8.4005363010813436</v>
      </c>
      <c r="BN287" s="61">
        <f t="shared" si="266"/>
        <v>56.475379220671819</v>
      </c>
      <c r="BO287" s="50">
        <f t="shared" si="315"/>
        <v>-7.0291420017370845</v>
      </c>
      <c r="BP287" s="61">
        <f t="shared" si="316"/>
        <v>47.431447170453566</v>
      </c>
    </row>
    <row r="288" spans="14:68" x14ac:dyDescent="0.25">
      <c r="N288" s="11">
        <v>70</v>
      </c>
      <c r="O288" s="51">
        <f t="shared" si="317"/>
        <v>5011.8723362727324</v>
      </c>
      <c r="P288" s="49" t="str">
        <f t="shared" si="267"/>
        <v>37.1583961085025</v>
      </c>
      <c r="Q288" s="18" t="str">
        <f t="shared" si="268"/>
        <v>1+24.6825839535489i</v>
      </c>
      <c r="R288" s="18">
        <f t="shared" si="280"/>
        <v>24.702832846133042</v>
      </c>
      <c r="S288" s="18">
        <f t="shared" si="281"/>
        <v>1.5303040752009323</v>
      </c>
      <c r="T288" s="18" t="str">
        <f t="shared" si="269"/>
        <v>1+0.0283414703622559i</v>
      </c>
      <c r="U288" s="18">
        <f t="shared" si="282"/>
        <v>1.0004015388544216</v>
      </c>
      <c r="V288" s="18">
        <f t="shared" si="283"/>
        <v>2.833388569307585E-2</v>
      </c>
      <c r="W288" s="32" t="str">
        <f t="shared" si="270"/>
        <v>1-0.248069872239073i</v>
      </c>
      <c r="X288" s="18">
        <f t="shared" si="284"/>
        <v>1.030309983215105</v>
      </c>
      <c r="Y288" s="18">
        <f t="shared" si="285"/>
        <v>-0.2431612489186161</v>
      </c>
      <c r="Z288" s="32" t="str">
        <f t="shared" si="271"/>
        <v>0.999372028392123+0.0597270245782354i</v>
      </c>
      <c r="AA288" s="18">
        <f t="shared" si="286"/>
        <v>1.0011552170355782</v>
      </c>
      <c r="AB288" s="18">
        <f t="shared" si="287"/>
        <v>5.9693551406670368E-2</v>
      </c>
      <c r="AC288" s="32" t="str">
        <f>IMDIV(IMSUM(COMPLEX(0,2*PI()*O288*Constants!$B$61*Constants!$B$62),COMPLEX(1,0)),IMSUM(COMPLEX(0,2*PI()*O288*Constants!$B$61*Constants!$B$62),COMPLEX(2,0)))</f>
        <v>0.501975470106806+0.0313661054525431i</v>
      </c>
      <c r="AD288" s="18">
        <f t="shared" si="288"/>
        <v>0.50295447623041278</v>
      </c>
      <c r="AE288" s="18">
        <f t="shared" si="289"/>
        <v>6.2404202126509371E-2</v>
      </c>
      <c r="AF288" s="66" t="str">
        <f t="shared" si="290"/>
        <v>-0.133022403421599-0.767453395178297i</v>
      </c>
      <c r="AG288" s="64">
        <f t="shared" si="291"/>
        <v>-2.1704055557305661</v>
      </c>
      <c r="AH288" s="61">
        <f t="shared" si="292"/>
        <v>-99.833357271450495</v>
      </c>
      <c r="AI288" s="50" t="str">
        <f t="shared" si="272"/>
        <v>107.538871525172</v>
      </c>
      <c r="AJ288" s="50" t="str">
        <f t="shared" si="273"/>
        <v>1+23.4645290336859i</v>
      </c>
      <c r="AK288" s="50">
        <f t="shared" si="293"/>
        <v>23.485828126184707</v>
      </c>
      <c r="AL288" s="50">
        <f t="shared" si="294"/>
        <v>1.5282045816191046</v>
      </c>
      <c r="AM288" s="50" t="str">
        <f t="shared" si="274"/>
        <v>1+0.0283414703622559i</v>
      </c>
      <c r="AN288" s="50">
        <f t="shared" si="295"/>
        <v>1.0004015388544216</v>
      </c>
      <c r="AO288" s="50">
        <f t="shared" si="296"/>
        <v>2.833388569307585E-2</v>
      </c>
      <c r="AP288" s="50" t="str">
        <f t="shared" si="275"/>
        <v>1-0.0814866396142299i</v>
      </c>
      <c r="AQ288" s="50">
        <f t="shared" si="297"/>
        <v>1.0033145431197634</v>
      </c>
      <c r="AR288" s="50">
        <f t="shared" si="298"/>
        <v>-8.1306995718834138E-2</v>
      </c>
      <c r="AS288" s="59" t="str">
        <f t="shared" si="299"/>
        <v>-0.0477109109461015-4.59565747325315i</v>
      </c>
      <c r="AT288" s="50">
        <f t="shared" si="300"/>
        <v>13.247421101120631</v>
      </c>
      <c r="AU288" s="61">
        <f t="shared" si="301"/>
        <v>-90.594808391488513</v>
      </c>
      <c r="AV288" s="32" t="str">
        <f t="shared" si="276"/>
        <v>-0.0000333333333333333</v>
      </c>
      <c r="AW288" s="32" t="str">
        <f t="shared" si="277"/>
        <v>0.00151154508598698i</v>
      </c>
      <c r="AX288" s="32">
        <f t="shared" si="302"/>
        <v>1.5115450859869799E-3</v>
      </c>
      <c r="AY288" s="32">
        <f t="shared" si="303"/>
        <v>1.5707963267948966</v>
      </c>
      <c r="AZ288" s="32" t="str">
        <f t="shared" si="278"/>
        <v>1+0.616689401400938i</v>
      </c>
      <c r="BA288" s="32">
        <f t="shared" si="304"/>
        <v>1.1748641699363578</v>
      </c>
      <c r="BB288" s="32">
        <f t="shared" si="305"/>
        <v>0.55260082125309307</v>
      </c>
      <c r="BC288" s="32" t="str">
        <f t="shared" si="279"/>
        <v>1+29.601091267245i</v>
      </c>
      <c r="BD288" s="32">
        <f t="shared" si="306"/>
        <v>29.617977719820242</v>
      </c>
      <c r="BE288" s="32">
        <f t="shared" si="307"/>
        <v>1.5370266312356078</v>
      </c>
      <c r="BF288" s="59" t="str">
        <f t="shared" si="308"/>
        <v>-0.463070018613253+0.307622862876457i</v>
      </c>
      <c r="BG288" s="50">
        <f t="shared" si="309"/>
        <v>-5.0994923521001256</v>
      </c>
      <c r="BH288" s="61">
        <f t="shared" si="310"/>
        <v>146.40344415574575</v>
      </c>
      <c r="BI288" s="59" t="str">
        <f t="shared" si="311"/>
        <v>0.297684897377424+0.314463925422759i</v>
      </c>
      <c r="BJ288" s="64">
        <f t="shared" si="312"/>
        <v>-7.2698979078306927</v>
      </c>
      <c r="BK288" s="61">
        <f t="shared" si="313"/>
        <v>46.570086884295272</v>
      </c>
      <c r="BL288" s="59" t="str">
        <f t="shared" si="265"/>
        <v>1.43582280114159+2.11343422466379i</v>
      </c>
      <c r="BM288" s="64">
        <f t="shared" si="314"/>
        <v>8.1479287490205206</v>
      </c>
      <c r="BN288" s="61">
        <f t="shared" si="266"/>
        <v>55.808635764257161</v>
      </c>
      <c r="BO288" s="50">
        <f t="shared" si="315"/>
        <v>-7.2698979078306927</v>
      </c>
      <c r="BP288" s="61">
        <f t="shared" si="316"/>
        <v>46.570086884295272</v>
      </c>
    </row>
    <row r="289" spans="14:68" x14ac:dyDescent="0.25">
      <c r="N289" s="11">
        <v>71</v>
      </c>
      <c r="O289" s="51">
        <f t="shared" si="317"/>
        <v>5128.6138399136489</v>
      </c>
      <c r="P289" s="49" t="str">
        <f t="shared" si="267"/>
        <v>37.1583961085025</v>
      </c>
      <c r="Q289" s="18" t="str">
        <f t="shared" si="268"/>
        <v>1+25.2575151910479i</v>
      </c>
      <c r="R289" s="18">
        <f t="shared" si="280"/>
        <v>25.277303527592011</v>
      </c>
      <c r="S289" s="18">
        <f t="shared" si="281"/>
        <v>1.5312248182816346</v>
      </c>
      <c r="T289" s="18" t="str">
        <f t="shared" si="269"/>
        <v>1+0.029001628012629i</v>
      </c>
      <c r="U289" s="18">
        <f t="shared" si="282"/>
        <v>1.0004204588208814</v>
      </c>
      <c r="V289" s="18">
        <f t="shared" si="283"/>
        <v>2.8993501077644614E-2</v>
      </c>
      <c r="W289" s="32" t="str">
        <f t="shared" si="270"/>
        <v>1-0.253848161858224i</v>
      </c>
      <c r="X289" s="18">
        <f t="shared" si="284"/>
        <v>1.0317164771771357</v>
      </c>
      <c r="Y289" s="18">
        <f t="shared" si="285"/>
        <v>-0.24859717033855999</v>
      </c>
      <c r="Z289" s="32" t="str">
        <f t="shared" si="271"/>
        <v>0.999342433002026+0.0611182457006884i</v>
      </c>
      <c r="AA289" s="18">
        <f t="shared" si="286"/>
        <v>1.0012096375664481</v>
      </c>
      <c r="AB289" s="18">
        <f t="shared" si="287"/>
        <v>6.1082380653901154E-2</v>
      </c>
      <c r="AC289" s="32" t="str">
        <f>IMDIV(IMSUM(COMPLEX(0,2*PI()*O289*Constants!$B$61*Constants!$B$62),COMPLEX(1,0)),IMSUM(COMPLEX(0,2*PI()*O289*Constants!$B$61*Constants!$B$62),COMPLEX(2,0)))</f>
        <v>0.502068186044123+0.0320907405422264i</v>
      </c>
      <c r="AD289" s="18">
        <f t="shared" si="288"/>
        <v>0.50309271418515344</v>
      </c>
      <c r="AE289" s="18">
        <f t="shared" si="289"/>
        <v>6.3830266733206562E-2</v>
      </c>
      <c r="AF289" s="66" t="str">
        <f t="shared" si="290"/>
        <v>-0.134457496976941-0.750466352589542i</v>
      </c>
      <c r="AG289" s="64">
        <f t="shared" si="291"/>
        <v>-2.3561569172387617</v>
      </c>
      <c r="AH289" s="61">
        <f t="shared" si="292"/>
        <v>-100.15764071253436</v>
      </c>
      <c r="AI289" s="50" t="str">
        <f t="shared" si="272"/>
        <v>107.538871525172</v>
      </c>
      <c r="AJ289" s="50" t="str">
        <f t="shared" si="273"/>
        <v>1+24.011088127339i</v>
      </c>
      <c r="AK289" s="50">
        <f t="shared" si="293"/>
        <v>24.031902818104935</v>
      </c>
      <c r="AL289" s="50">
        <f t="shared" si="294"/>
        <v>1.529172955695961</v>
      </c>
      <c r="AM289" s="50" t="str">
        <f t="shared" si="274"/>
        <v>1+0.029001628012629i</v>
      </c>
      <c r="AN289" s="50">
        <f t="shared" si="295"/>
        <v>1.0004204588208814</v>
      </c>
      <c r="AO289" s="50">
        <f t="shared" si="296"/>
        <v>2.8993501077644614E-2</v>
      </c>
      <c r="AP289" s="50" t="str">
        <f t="shared" si="275"/>
        <v>1-0.0833847072817484i</v>
      </c>
      <c r="AQ289" s="50">
        <f t="shared" si="297"/>
        <v>1.0034704825795639</v>
      </c>
      <c r="AR289" s="50">
        <f t="shared" si="298"/>
        <v>-8.3192251316803426E-2</v>
      </c>
      <c r="AS289" s="59" t="str">
        <f t="shared" si="299"/>
        <v>-0.0564903315155596-4.49190064630238i</v>
      </c>
      <c r="AT289" s="50">
        <f t="shared" si="300"/>
        <v>13.049289647942947</v>
      </c>
      <c r="AU289" s="61">
        <f t="shared" si="301"/>
        <v>-90.720516150511656</v>
      </c>
      <c r="AV289" s="32" t="str">
        <f t="shared" si="276"/>
        <v>-0.0000333333333333333</v>
      </c>
      <c r="AW289" s="32" t="str">
        <f t="shared" si="277"/>
        <v>0.00154675349400688i</v>
      </c>
      <c r="AX289" s="32">
        <f t="shared" si="302"/>
        <v>1.54675349400688E-3</v>
      </c>
      <c r="AY289" s="32">
        <f t="shared" si="303"/>
        <v>1.5707963267948966</v>
      </c>
      <c r="AZ289" s="32" t="str">
        <f t="shared" si="278"/>
        <v>1+0.63105394286739i</v>
      </c>
      <c r="BA289" s="32">
        <f t="shared" si="304"/>
        <v>1.1824673690248197</v>
      </c>
      <c r="BB289" s="32">
        <f t="shared" si="305"/>
        <v>0.56294087228316969</v>
      </c>
      <c r="BC289" s="32" t="str">
        <f t="shared" si="279"/>
        <v>1+30.2905892576348i</v>
      </c>
      <c r="BD289" s="32">
        <f t="shared" si="306"/>
        <v>30.307091539353308</v>
      </c>
      <c r="BE289" s="32">
        <f t="shared" si="307"/>
        <v>1.5377947588610166</v>
      </c>
      <c r="BF289" s="59" t="str">
        <f t="shared" si="308"/>
        <v>-0.457134135191513+0.310026812759139i</v>
      </c>
      <c r="BG289" s="50">
        <f t="shared" si="309"/>
        <v>-5.155745293348196</v>
      </c>
      <c r="BH289" s="61">
        <f t="shared" si="310"/>
        <v>145.85501334283558</v>
      </c>
      <c r="BI289" s="59" t="str">
        <f t="shared" si="311"/>
        <v>0.294129802976881+0.301378357842017i</v>
      </c>
      <c r="BJ289" s="64">
        <f t="shared" si="312"/>
        <v>-7.5119022105869568</v>
      </c>
      <c r="BK289" s="61">
        <f t="shared" si="313"/>
        <v>45.69737263030126</v>
      </c>
      <c r="BL289" s="59" t="str">
        <f t="shared" si="265"/>
        <v>1.41843329944789+2.03588759988216i</v>
      </c>
      <c r="BM289" s="64">
        <f t="shared" si="314"/>
        <v>7.8935443545947503</v>
      </c>
      <c r="BN289" s="61">
        <f t="shared" si="266"/>
        <v>55.13449719232392</v>
      </c>
      <c r="BO289" s="50">
        <f t="shared" si="315"/>
        <v>-7.5119022105869568</v>
      </c>
      <c r="BP289" s="61">
        <f t="shared" si="316"/>
        <v>45.69737263030126</v>
      </c>
    </row>
    <row r="290" spans="14:68" x14ac:dyDescent="0.25">
      <c r="N290" s="11">
        <v>72</v>
      </c>
      <c r="O290" s="51">
        <f t="shared" si="317"/>
        <v>5248.0746024977261</v>
      </c>
      <c r="P290" s="49" t="str">
        <f t="shared" si="267"/>
        <v>37.1583961085025</v>
      </c>
      <c r="Q290" s="18" t="str">
        <f t="shared" si="268"/>
        <v>1+25.845838297424i</v>
      </c>
      <c r="R290" s="18">
        <f t="shared" si="280"/>
        <v>25.865176537123983</v>
      </c>
      <c r="S290" s="18">
        <f t="shared" si="281"/>
        <v>1.5321246675623794</v>
      </c>
      <c r="T290" s="18" t="str">
        <f t="shared" si="269"/>
        <v>1+0.0296771627100565i</v>
      </c>
      <c r="U290" s="18">
        <f t="shared" si="282"/>
        <v>1.0004402700743904</v>
      </c>
      <c r="V290" s="18">
        <f t="shared" si="283"/>
        <v>2.9668454749290994E-2</v>
      </c>
      <c r="W290" s="32" t="str">
        <f t="shared" si="270"/>
        <v>1-0.259761045132872i</v>
      </c>
      <c r="X290" s="18">
        <f t="shared" si="284"/>
        <v>1.0331872049965205</v>
      </c>
      <c r="Y290" s="18">
        <f t="shared" si="285"/>
        <v>-0.2541442211893053</v>
      </c>
      <c r="Z290" s="32" t="str">
        <f t="shared" si="271"/>
        <v>0.999311442824166+0.0625418725260079i</v>
      </c>
      <c r="AA290" s="18">
        <f t="shared" si="286"/>
        <v>1.0012666206252838</v>
      </c>
      <c r="AB290" s="18">
        <f t="shared" si="287"/>
        <v>6.2503444794974619E-2</v>
      </c>
      <c r="AC290" s="32" t="str">
        <f>IMDIV(IMSUM(COMPLEX(0,2*PI()*O290*Constants!$B$61*Constants!$B$62),COMPLEX(1,0)),IMSUM(COMPLEX(0,2*PI()*O290*Constants!$B$61*Constants!$B$62),COMPLEX(2,0)))</f>
        <v>0.502165234556036+0.0328318296373406i</v>
      </c>
      <c r="AD290" s="18">
        <f t="shared" si="288"/>
        <v>0.50323737126137003</v>
      </c>
      <c r="AE290" s="18">
        <f t="shared" si="289"/>
        <v>6.5287610268443361E-2</v>
      </c>
      <c r="AF290" s="66" t="str">
        <f t="shared" si="290"/>
        <v>-0.135833221496002-0.733871871363516i</v>
      </c>
      <c r="AG290" s="64">
        <f t="shared" si="291"/>
        <v>-2.5413031223194316</v>
      </c>
      <c r="AH290" s="61">
        <f t="shared" si="292"/>
        <v>-100.48627022809009</v>
      </c>
      <c r="AI290" s="50" t="str">
        <f t="shared" si="272"/>
        <v>107.538871525172</v>
      </c>
      <c r="AJ290" s="50" t="str">
        <f t="shared" si="273"/>
        <v>1+24.5703782177417i</v>
      </c>
      <c r="AK290" s="50">
        <f t="shared" si="293"/>
        <v>24.590719504782196</v>
      </c>
      <c r="AL290" s="50">
        <f t="shared" si="294"/>
        <v>1.5301193623698428</v>
      </c>
      <c r="AM290" s="50" t="str">
        <f t="shared" si="274"/>
        <v>1+0.0296771627100565i</v>
      </c>
      <c r="AN290" s="50">
        <f t="shared" si="295"/>
        <v>1.0004402700743904</v>
      </c>
      <c r="AO290" s="50">
        <f t="shared" si="296"/>
        <v>2.9668454749290994E-2</v>
      </c>
      <c r="AP290" s="50" t="str">
        <f t="shared" si="275"/>
        <v>1-0.0853269866247953i</v>
      </c>
      <c r="AQ290" s="50">
        <f t="shared" si="297"/>
        <v>1.0036337452708872</v>
      </c>
      <c r="AR290" s="50">
        <f t="shared" si="298"/>
        <v>-8.5120806646639069E-2</v>
      </c>
      <c r="AS290" s="59" t="str">
        <f t="shared" si="299"/>
        <v>-0.064875950749952-4.39049261720364i</v>
      </c>
      <c r="AT290" s="50">
        <f t="shared" si="300"/>
        <v>12.851213175910683</v>
      </c>
      <c r="AU290" s="61">
        <f t="shared" si="301"/>
        <v>-90.846567342832941</v>
      </c>
      <c r="AV290" s="32" t="str">
        <f t="shared" si="276"/>
        <v>-0.0000333333333333333</v>
      </c>
      <c r="AW290" s="32" t="str">
        <f t="shared" si="277"/>
        <v>0.00158278201120301i</v>
      </c>
      <c r="AX290" s="32">
        <f t="shared" si="302"/>
        <v>1.5827820112030099E-3</v>
      </c>
      <c r="AY290" s="32">
        <f t="shared" si="303"/>
        <v>1.5707963267948966</v>
      </c>
      <c r="AZ290" s="32" t="str">
        <f t="shared" si="278"/>
        <v>1+0.645753077487341i</v>
      </c>
      <c r="BA290" s="32">
        <f t="shared" si="304"/>
        <v>1.1903768466684708</v>
      </c>
      <c r="BB290" s="32">
        <f t="shared" si="305"/>
        <v>0.57338389024901948</v>
      </c>
      <c r="BC290" s="32" t="str">
        <f t="shared" si="279"/>
        <v>1+30.9961477193924i</v>
      </c>
      <c r="BD290" s="32">
        <f t="shared" si="306"/>
        <v>31.012274560928205</v>
      </c>
      <c r="BE290" s="32">
        <f t="shared" si="307"/>
        <v>1.5385454394127809</v>
      </c>
      <c r="BF290" s="59" t="str">
        <f t="shared" si="308"/>
        <v>-0.45107944760133+0.312345906211189i</v>
      </c>
      <c r="BG290" s="50">
        <f t="shared" si="309"/>
        <v>-5.2138642254662422</v>
      </c>
      <c r="BH290" s="61">
        <f t="shared" si="310"/>
        <v>145.29968331539169</v>
      </c>
      <c r="BI290" s="59" t="str">
        <f t="shared" si="311"/>
        <v>0.290493449222264+0.288607567683055i</v>
      </c>
      <c r="BJ290" s="64">
        <f t="shared" si="312"/>
        <v>-7.7551673477856786</v>
      </c>
      <c r="BK290" s="61">
        <f t="shared" si="313"/>
        <v>44.813413087301626</v>
      </c>
      <c r="BL290" s="59" t="str">
        <f t="shared" si="265"/>
        <v>1.40061660326091+1.96019724683763i</v>
      </c>
      <c r="BM290" s="64">
        <f t="shared" si="314"/>
        <v>7.6373489504444505</v>
      </c>
      <c r="BN290" s="61">
        <f t="shared" si="266"/>
        <v>54.453115972558699</v>
      </c>
      <c r="BO290" s="50">
        <f t="shared" si="315"/>
        <v>-7.7551673477856786</v>
      </c>
      <c r="BP290" s="61">
        <f t="shared" si="316"/>
        <v>44.813413087301626</v>
      </c>
    </row>
    <row r="291" spans="14:68" x14ac:dyDescent="0.25">
      <c r="N291" s="11">
        <v>73</v>
      </c>
      <c r="O291" s="51">
        <f t="shared" si="317"/>
        <v>5370.3179637025269</v>
      </c>
      <c r="P291" s="49" t="str">
        <f t="shared" si="267"/>
        <v>37.1583961085025</v>
      </c>
      <c r="Q291" s="18" t="str">
        <f t="shared" si="268"/>
        <v>1+26.4478652093755i</v>
      </c>
      <c r="R291" s="18">
        <f t="shared" si="280"/>
        <v>26.466763574968795</v>
      </c>
      <c r="S291" s="18">
        <f t="shared" si="281"/>
        <v>1.5330040943227705</v>
      </c>
      <c r="T291" s="18" t="str">
        <f t="shared" si="269"/>
        <v>1+0.0303684326319765i</v>
      </c>
      <c r="U291" s="18">
        <f t="shared" si="282"/>
        <v>1.0004610145830386</v>
      </c>
      <c r="V291" s="18">
        <f t="shared" si="283"/>
        <v>3.0359102116109496E-2</v>
      </c>
      <c r="W291" s="32" t="str">
        <f t="shared" si="270"/>
        <v>1-0.265811657151992i</v>
      </c>
      <c r="X291" s="18">
        <f t="shared" si="284"/>
        <v>1.0347250055342667</v>
      </c>
      <c r="Y291" s="18">
        <f t="shared" si="285"/>
        <v>-0.25980397656444282</v>
      </c>
      <c r="Z291" s="32" t="str">
        <f t="shared" si="271"/>
        <v>0.999278992124218+0.06399865987998i</v>
      </c>
      <c r="AA291" s="18">
        <f t="shared" si="286"/>
        <v>1.0013262867653212</v>
      </c>
      <c r="AB291" s="18">
        <f t="shared" si="287"/>
        <v>6.3957486470739053E-2</v>
      </c>
      <c r="AC291" s="32" t="str">
        <f>IMDIV(IMSUM(COMPLEX(0,2*PI()*O291*Constants!$B$61*Constants!$B$62),COMPLEX(1,0)),IMSUM(COMPLEX(0,2*PI()*O291*Constants!$B$61*Constants!$B$62),COMPLEX(2,0)))</f>
        <v>0.502266816285214+0.0335897259074258i</v>
      </c>
      <c r="AD291" s="18">
        <f t="shared" si="288"/>
        <v>0.50338874086318308</v>
      </c>
      <c r="AE291" s="18">
        <f t="shared" si="289"/>
        <v>6.6776826228751571E-2</v>
      </c>
      <c r="AF291" s="66" t="str">
        <f t="shared" si="290"/>
        <v>-0.137152464759303-0.717661449171364i</v>
      </c>
      <c r="AG291" s="64">
        <f t="shared" si="291"/>
        <v>-2.7258176640421801</v>
      </c>
      <c r="AH291" s="61">
        <f t="shared" si="292"/>
        <v>-100.81935124862095</v>
      </c>
      <c r="AI291" s="50" t="str">
        <f t="shared" si="272"/>
        <v>107.538871525172</v>
      </c>
      <c r="AJ291" s="50" t="str">
        <f t="shared" si="273"/>
        <v>1+25.1426958479027i</v>
      </c>
      <c r="AK291" s="50">
        <f t="shared" si="293"/>
        <v>25.162574480766938</v>
      </c>
      <c r="AL291" s="50">
        <f t="shared" si="294"/>
        <v>1.5310442966527669</v>
      </c>
      <c r="AM291" s="50" t="str">
        <f t="shared" si="274"/>
        <v>1+0.0303684326319765i</v>
      </c>
      <c r="AN291" s="50">
        <f t="shared" si="295"/>
        <v>1.0004610145830386</v>
      </c>
      <c r="AO291" s="50">
        <f t="shared" si="296"/>
        <v>3.0359102116109496E-2</v>
      </c>
      <c r="AP291" s="50" t="str">
        <f t="shared" si="275"/>
        <v>1-0.0873145074655865i</v>
      </c>
      <c r="AQ291" s="50">
        <f t="shared" si="297"/>
        <v>1.0038046738354818</v>
      </c>
      <c r="AR291" s="50">
        <f t="shared" si="298"/>
        <v>-8.7093626838602084E-2</v>
      </c>
      <c r="AS291" s="59" t="str">
        <f t="shared" si="299"/>
        <v>-0.0728853752130263-4.29138180465303i</v>
      </c>
      <c r="AT291" s="50">
        <f t="shared" si="300"/>
        <v>12.653195697213256</v>
      </c>
      <c r="AU291" s="61">
        <f t="shared" si="301"/>
        <v>-90.973025265058581</v>
      </c>
      <c r="AV291" s="32" t="str">
        <f t="shared" si="276"/>
        <v>-0.0000333333333333333</v>
      </c>
      <c r="AW291" s="32" t="str">
        <f t="shared" si="277"/>
        <v>0.00161964974037208i</v>
      </c>
      <c r="AX291" s="32">
        <f t="shared" si="302"/>
        <v>1.61964974037208E-3</v>
      </c>
      <c r="AY291" s="32">
        <f t="shared" si="303"/>
        <v>1.5707963267948966</v>
      </c>
      <c r="AZ291" s="32" t="str">
        <f t="shared" si="278"/>
        <v>1+0.660794598936526i</v>
      </c>
      <c r="BA291" s="32">
        <f t="shared" si="304"/>
        <v>1.198603146159597</v>
      </c>
      <c r="BB291" s="32">
        <f t="shared" si="305"/>
        <v>0.58392630087000708</v>
      </c>
      <c r="BC291" s="32" t="str">
        <f t="shared" si="279"/>
        <v>1+31.7181407489533i</v>
      </c>
      <c r="BD291" s="32">
        <f t="shared" si="306"/>
        <v>31.733900683187557</v>
      </c>
      <c r="BE291" s="32">
        <f t="shared" si="307"/>
        <v>1.5392790675255348</v>
      </c>
      <c r="BF291" s="59" t="str">
        <f t="shared" si="308"/>
        <v>-0.444908963430663+0.314574021460913i</v>
      </c>
      <c r="BG291" s="50">
        <f t="shared" si="309"/>
        <v>-5.2738863114295569</v>
      </c>
      <c r="BH291" s="61">
        <f t="shared" si="310"/>
        <v>144.73768147550817</v>
      </c>
      <c r="BI291" s="59" t="str">
        <f t="shared" si="311"/>
        <v>0.286778009041325+0.276149409052369i</v>
      </c>
      <c r="BJ291" s="64">
        <f t="shared" si="312"/>
        <v>-7.9997039754717294</v>
      </c>
      <c r="BK291" s="61">
        <f t="shared" si="313"/>
        <v>43.9183302268872</v>
      </c>
      <c r="BL291" s="59" t="str">
        <f t="shared" si="265"/>
        <v>1.38238458864918+1.88634638480694i</v>
      </c>
      <c r="BM291" s="64">
        <f t="shared" si="314"/>
        <v>7.3793093857837118</v>
      </c>
      <c r="BN291" s="61">
        <f t="shared" si="266"/>
        <v>53.764656210449544</v>
      </c>
      <c r="BO291" s="50">
        <f t="shared" si="315"/>
        <v>-7.9997039754717294</v>
      </c>
      <c r="BP291" s="61">
        <f t="shared" si="316"/>
        <v>43.9183302268872</v>
      </c>
    </row>
    <row r="292" spans="14:68" x14ac:dyDescent="0.25">
      <c r="N292" s="11">
        <v>74</v>
      </c>
      <c r="O292" s="51">
        <f t="shared" si="317"/>
        <v>5495.4087385762541</v>
      </c>
      <c r="P292" s="49" t="str">
        <f t="shared" si="267"/>
        <v>37.1583961085025</v>
      </c>
      <c r="Q292" s="18" t="str">
        <f t="shared" si="268"/>
        <v>1+27.0639151295399i</v>
      </c>
      <c r="R292" s="18">
        <f t="shared" si="280"/>
        <v>27.082383612579946</v>
      </c>
      <c r="S292" s="18">
        <f t="shared" si="281"/>
        <v>1.5338635594022829</v>
      </c>
      <c r="T292" s="18" t="str">
        <f t="shared" si="269"/>
        <v>1+0.0310758042988518i</v>
      </c>
      <c r="U292" s="18">
        <f t="shared" si="282"/>
        <v>1.0004827362892477</v>
      </c>
      <c r="V292" s="18">
        <f t="shared" si="283"/>
        <v>3.106580673149216E-2</v>
      </c>
      <c r="W292" s="32" t="str">
        <f t="shared" si="270"/>
        <v>1-0.272003206030168i</v>
      </c>
      <c r="X292" s="18">
        <f t="shared" si="284"/>
        <v>1.0363328346099481</v>
      </c>
      <c r="Y292" s="18">
        <f t="shared" si="285"/>
        <v>-0.26557798635652219</v>
      </c>
      <c r="Z292" s="32" t="str">
        <f t="shared" si="271"/>
        <v>0.999245012069899+0.065489380170543i</v>
      </c>
      <c r="AA292" s="18">
        <f t="shared" si="286"/>
        <v>1.0013887622006223</v>
      </c>
      <c r="AB292" s="18">
        <f t="shared" si="287"/>
        <v>6.544526503653339E-2</v>
      </c>
      <c r="AC292" s="32" t="str">
        <f>IMDIV(IMSUM(COMPLEX(0,2*PI()*O292*Constants!$B$61*Constants!$B$62),COMPLEX(1,0)),IMSUM(COMPLEX(0,2*PI()*O292*Constants!$B$61*Constants!$B$62),COMPLEX(2,0)))</f>
        <v>0.502373140991775+0.0343647886319819i</v>
      </c>
      <c r="AD292" s="18">
        <f t="shared" si="288"/>
        <v>0.50354712936095924</v>
      </c>
      <c r="AE292" s="18">
        <f t="shared" si="289"/>
        <v>6.8298512697252303E-2</v>
      </c>
      <c r="AF292" s="66" t="str">
        <f t="shared" si="290"/>
        <v>-0.138417996547354-0.701826763452526i</v>
      </c>
      <c r="AG292" s="64">
        <f t="shared" si="291"/>
        <v>-2.9096731372251465</v>
      </c>
      <c r="AH292" s="61">
        <f t="shared" si="292"/>
        <v>-101.15698739072816</v>
      </c>
      <c r="AI292" s="50" t="str">
        <f t="shared" si="272"/>
        <v>107.538871525172</v>
      </c>
      <c r="AJ292" s="50" t="str">
        <f t="shared" si="273"/>
        <v>1+25.7283444682053i</v>
      </c>
      <c r="AK292" s="50">
        <f t="shared" si="293"/>
        <v>25.747770953514213</v>
      </c>
      <c r="AL292" s="50">
        <f t="shared" si="294"/>
        <v>1.531948242623248</v>
      </c>
      <c r="AM292" s="50" t="str">
        <f t="shared" si="274"/>
        <v>1+0.0310758042988518i</v>
      </c>
      <c r="AN292" s="50">
        <f t="shared" si="295"/>
        <v>1.0004827362892477</v>
      </c>
      <c r="AO292" s="50">
        <f t="shared" si="296"/>
        <v>3.106580673149216E-2</v>
      </c>
      <c r="AP292" s="50" t="str">
        <f t="shared" si="275"/>
        <v>1-0.0893483236139804i</v>
      </c>
      <c r="AQ292" s="50">
        <f t="shared" si="297"/>
        <v>1.003983626824974</v>
      </c>
      <c r="AR292" s="50">
        <f t="shared" si="298"/>
        <v>-8.9111696447941924E-2</v>
      </c>
      <c r="AS292" s="59" t="str">
        <f t="shared" si="299"/>
        <v>-0.0805354293372063-4.19451770019527i</v>
      </c>
      <c r="AT292" s="50">
        <f t="shared" si="300"/>
        <v>12.455241343357846</v>
      </c>
      <c r="AU292" s="61">
        <f t="shared" si="301"/>
        <v>-91.099953233629961</v>
      </c>
      <c r="AV292" s="32" t="str">
        <f t="shared" si="276"/>
        <v>-0.0000333333333333333</v>
      </c>
      <c r="AW292" s="32" t="str">
        <f t="shared" si="277"/>
        <v>0.00165737622927209i</v>
      </c>
      <c r="AX292" s="32">
        <f t="shared" si="302"/>
        <v>1.6573762292720899E-3</v>
      </c>
      <c r="AY292" s="32">
        <f t="shared" si="303"/>
        <v>1.5707963267948966</v>
      </c>
      <c r="AZ292" s="32" t="str">
        <f t="shared" si="278"/>
        <v>1+0.676186482428719i</v>
      </c>
      <c r="BA292" s="32">
        <f t="shared" si="304"/>
        <v>1.2071570564840866</v>
      </c>
      <c r="BB292" s="32">
        <f t="shared" si="305"/>
        <v>0.59456432002481263</v>
      </c>
      <c r="BC292" s="32" t="str">
        <f t="shared" si="279"/>
        <v>1+32.4569511565786i</v>
      </c>
      <c r="BD292" s="32">
        <f t="shared" si="306"/>
        <v>32.47235252303917</v>
      </c>
      <c r="BE292" s="32">
        <f t="shared" si="307"/>
        <v>1.5399960290180394</v>
      </c>
      <c r="BF292" s="59" t="str">
        <f t="shared" si="308"/>
        <v>-0.438626056451513+0.316705120393831i</v>
      </c>
      <c r="BG292" s="50">
        <f t="shared" si="309"/>
        <v>-5.3358476957137748</v>
      </c>
      <c r="BH292" s="61">
        <f t="shared" si="310"/>
        <v>144.16924674315254</v>
      </c>
      <c r="BI292" s="59" t="str">
        <f t="shared" si="311"/>
        <v>0.28298586958233+0.264001817304108i</v>
      </c>
      <c r="BJ292" s="64">
        <f t="shared" si="312"/>
        <v>-8.2455208329389169</v>
      </c>
      <c r="BK292" s="61">
        <f t="shared" si="313"/>
        <v>43.012259352424401</v>
      </c>
      <c r="BL292" s="59" t="str">
        <f t="shared" si="265"/>
        <v>1.36375017100921+1.81431877470851i</v>
      </c>
      <c r="BM292" s="64">
        <f t="shared" si="314"/>
        <v>7.1193936476440731</v>
      </c>
      <c r="BN292" s="61">
        <f t="shared" si="266"/>
        <v>53.069293509522481</v>
      </c>
      <c r="BO292" s="50">
        <f t="shared" si="315"/>
        <v>-8.2455208329389169</v>
      </c>
      <c r="BP292" s="61">
        <f t="shared" si="316"/>
        <v>43.012259352424401</v>
      </c>
    </row>
    <row r="293" spans="14:68" x14ac:dyDescent="0.25">
      <c r="N293" s="11">
        <v>75</v>
      </c>
      <c r="O293" s="51">
        <f t="shared" si="317"/>
        <v>5623.4132519034993</v>
      </c>
      <c r="P293" s="49" t="str">
        <f t="shared" si="267"/>
        <v>37.1583961085025</v>
      </c>
      <c r="Q293" s="18" t="str">
        <f t="shared" si="268"/>
        <v>1+27.6943146957393i</v>
      </c>
      <c r="R293" s="18">
        <f t="shared" si="280"/>
        <v>27.712363061757141</v>
      </c>
      <c r="S293" s="18">
        <f t="shared" si="281"/>
        <v>1.5347035134188203</v>
      </c>
      <c r="T293" s="18" t="str">
        <f t="shared" si="269"/>
        <v>1+0.0317996527685031i</v>
      </c>
      <c r="U293" s="18">
        <f t="shared" si="282"/>
        <v>1.0005054812024756</v>
      </c>
      <c r="V293" s="18">
        <f t="shared" si="283"/>
        <v>3.1788940474361156E-2</v>
      </c>
      <c r="W293" s="32" t="str">
        <f t="shared" si="270"/>
        <v>1-0.278338974608569i</v>
      </c>
      <c r="X293" s="18">
        <f t="shared" si="284"/>
        <v>1.0380137690734885</v>
      </c>
      <c r="Y293" s="18">
        <f t="shared" si="285"/>
        <v>-0.27146777138769768</v>
      </c>
      <c r="Z293" s="32" t="str">
        <f t="shared" si="271"/>
        <v>0.999209430584958+0.0670148237973268i</v>
      </c>
      <c r="AA293" s="18">
        <f t="shared" si="286"/>
        <v>1.0014541790708664</v>
      </c>
      <c r="AB293" s="18">
        <f t="shared" si="287"/>
        <v>6.6967556910134063E-2</v>
      </c>
      <c r="AC293" s="32" t="str">
        <f>IMDIV(IMSUM(COMPLEX(0,2*PI()*O293*Constants!$B$61*Constants!$B$62),COMPLEX(1,0)),IMSUM(COMPLEX(0,2*PI()*O293*Constants!$B$61*Constants!$B$62),COMPLEX(2,0)))</f>
        <v>0.502484427950831+0.0351573831957483i</v>
      </c>
      <c r="AD293" s="18">
        <f t="shared" si="288"/>
        <v>0.50371285662195142</v>
      </c>
      <c r="AE293" s="18">
        <f t="shared" si="289"/>
        <v>6.9853271839820111E-2</v>
      </c>
      <c r="AF293" s="66" t="str">
        <f t="shared" si="290"/>
        <v>-0.139632474276269-0.686359668291366i</v>
      </c>
      <c r="AG293" s="64">
        <f t="shared" si="291"/>
        <v>-3.0928412174986413</v>
      </c>
      <c r="AH293" s="61">
        <f t="shared" si="292"/>
        <v>-101.49928028641246</v>
      </c>
      <c r="AI293" s="50" t="str">
        <f t="shared" si="272"/>
        <v>107.538871525172</v>
      </c>
      <c r="AJ293" s="50" t="str">
        <f t="shared" si="273"/>
        <v>1+26.3276345972997i</v>
      </c>
      <c r="AK293" s="50">
        <f t="shared" si="293"/>
        <v>26.346619204158475</v>
      </c>
      <c r="AL293" s="50">
        <f t="shared" si="294"/>
        <v>1.5328316736529874</v>
      </c>
      <c r="AM293" s="50" t="str">
        <f t="shared" si="274"/>
        <v>1+0.0317996527685031i</v>
      </c>
      <c r="AN293" s="50">
        <f t="shared" si="295"/>
        <v>1.0005054812024756</v>
      </c>
      <c r="AO293" s="50">
        <f t="shared" si="296"/>
        <v>3.1788940474361156E-2</v>
      </c>
      <c r="AP293" s="50" t="str">
        <f t="shared" si="275"/>
        <v>1-0.0914295134262191i</v>
      </c>
      <c r="AQ293" s="50">
        <f t="shared" si="297"/>
        <v>1.0041709794279832</v>
      </c>
      <c r="AR293" s="50">
        <f t="shared" si="298"/>
        <v>-9.1176019695041327E-2</v>
      </c>
      <c r="AS293" s="59" t="str">
        <f t="shared" si="299"/>
        <v>-0.0878421897242058-4.09985085104847i</v>
      </c>
      <c r="AT293" s="50">
        <f t="shared" si="300"/>
        <v>12.257354373322366</v>
      </c>
      <c r="AU293" s="61">
        <f t="shared" si="301"/>
        <v>-91.227414601244561</v>
      </c>
      <c r="AV293" s="32" t="str">
        <f t="shared" si="276"/>
        <v>-0.0000333333333333333</v>
      </c>
      <c r="AW293" s="32" t="str">
        <f t="shared" si="277"/>
        <v>0.00169598148098683i</v>
      </c>
      <c r="AX293" s="32">
        <f t="shared" si="302"/>
        <v>1.6959814809868301E-3</v>
      </c>
      <c r="AY293" s="32">
        <f t="shared" si="303"/>
        <v>1.5707963267948966</v>
      </c>
      <c r="AZ293" s="32" t="str">
        <f t="shared" si="278"/>
        <v>1+0.691936888944281i</v>
      </c>
      <c r="BA293" s="32">
        <f t="shared" si="304"/>
        <v>1.2160496117683235</v>
      </c>
      <c r="BB293" s="32">
        <f t="shared" si="305"/>
        <v>0.60529395702994593</v>
      </c>
      <c r="BC293" s="32" t="str">
        <f t="shared" si="279"/>
        <v>1+33.2129706693255i</v>
      </c>
      <c r="BD293" s="32">
        <f t="shared" si="306"/>
        <v>33.228021618529681</v>
      </c>
      <c r="BE293" s="32">
        <f t="shared" si="307"/>
        <v>1.5406967010827421</v>
      </c>
      <c r="BF293" s="59" t="str">
        <f t="shared" si="308"/>
        <v>-0.4322344670245+0.318733275067576i</v>
      </c>
      <c r="BG293" s="50">
        <f t="shared" si="309"/>
        <v>-5.3997833904959727</v>
      </c>
      <c r="BH293" s="61">
        <f t="shared" si="310"/>
        <v>143.59462937918127</v>
      </c>
      <c r="BI293" s="59" t="str">
        <f t="shared" si="311"/>
        <v>0.279119633046918+0.252162789579167i</v>
      </c>
      <c r="BJ293" s="64">
        <f t="shared" si="312"/>
        <v>-8.4926246079946051</v>
      </c>
      <c r="BK293" s="61">
        <f t="shared" si="313"/>
        <v>42.095349092768778</v>
      </c>
      <c r="BL293" s="59" t="str">
        <f t="shared" si="265"/>
        <v>1.34472731110097+1.74409861866297i</v>
      </c>
      <c r="BM293" s="64">
        <f t="shared" si="314"/>
        <v>6.8575709828263687</v>
      </c>
      <c r="BN293" s="61">
        <f t="shared" si="266"/>
        <v>52.367214777936738</v>
      </c>
      <c r="BO293" s="50">
        <f t="shared" si="315"/>
        <v>-8.4926246079946051</v>
      </c>
      <c r="BP293" s="61">
        <f t="shared" si="316"/>
        <v>42.095349092768778</v>
      </c>
    </row>
    <row r="294" spans="14:68" x14ac:dyDescent="0.25">
      <c r="N294" s="11">
        <v>76</v>
      </c>
      <c r="O294" s="51">
        <f t="shared" si="317"/>
        <v>5754.399373371567</v>
      </c>
      <c r="P294" s="49" t="str">
        <f t="shared" si="267"/>
        <v>37.1583961085025</v>
      </c>
      <c r="Q294" s="18" t="str">
        <f t="shared" si="268"/>
        <v>1+28.3393981541678i</v>
      </c>
      <c r="R294" s="18">
        <f t="shared" si="280"/>
        <v>28.357035947722906</v>
      </c>
      <c r="S294" s="18">
        <f t="shared" si="281"/>
        <v>1.5355243969835599</v>
      </c>
      <c r="T294" s="18" t="str">
        <f t="shared" si="269"/>
        <v>1+0.0325403618349705i</v>
      </c>
      <c r="U294" s="18">
        <f t="shared" si="282"/>
        <v>1.0005292974962556</v>
      </c>
      <c r="V294" s="18">
        <f t="shared" si="283"/>
        <v>3.2528883732926242E-2</v>
      </c>
      <c r="W294" s="32" t="str">
        <f t="shared" si="270"/>
        <v>1-0.284822322195559i</v>
      </c>
      <c r="X294" s="18">
        <f t="shared" si="284"/>
        <v>1.039771010954273</v>
      </c>
      <c r="Y294" s="18">
        <f t="shared" si="285"/>
        <v>-0.27747481933186269</v>
      </c>
      <c r="Z294" s="32" t="str">
        <f t="shared" si="271"/>
        <v>0.999172172196294+0.0685757995707339i</v>
      </c>
      <c r="AA294" s="18">
        <f t="shared" si="286"/>
        <v>1.0015226757184412</v>
      </c>
      <c r="AB294" s="18">
        <f t="shared" si="287"/>
        <v>6.8525155924893666E-2</v>
      </c>
      <c r="AC294" s="32" t="str">
        <f>IMDIV(IMSUM(COMPLEX(0,2*PI()*O294*Constants!$B$61*Constants!$B$62),COMPLEX(1,0)),IMSUM(COMPLEX(0,2*PI()*O294*Constants!$B$61*Constants!$B$62),COMPLEX(2,0)))</f>
        <v>0.502600906365736+0.0359678810738786i</v>
      </c>
      <c r="AD294" s="18">
        <f t="shared" si="288"/>
        <v>0.503886256558565</v>
      </c>
      <c r="AE294" s="18">
        <f t="shared" si="289"/>
        <v>7.1441709351661983E-2</v>
      </c>
      <c r="AF294" s="66" t="str">
        <f t="shared" si="290"/>
        <v>-0.140798448408313-0.671252191282698i</v>
      </c>
      <c r="AG294" s="64">
        <f t="shared" si="291"/>
        <v>-3.2752926412877255</v>
      </c>
      <c r="AH294" s="61">
        <f t="shared" si="292"/>
        <v>-101.84632940315285</v>
      </c>
      <c r="AI294" s="50" t="str">
        <f t="shared" si="272"/>
        <v>107.538871525172</v>
      </c>
      <c r="AJ294" s="50" t="str">
        <f t="shared" si="273"/>
        <v>1+26.9408839867451i</v>
      </c>
      <c r="AK294" s="50">
        <f t="shared" si="293"/>
        <v>26.959436752040251</v>
      </c>
      <c r="AL294" s="50">
        <f t="shared" si="294"/>
        <v>1.5336950526298712</v>
      </c>
      <c r="AM294" s="50" t="str">
        <f t="shared" si="274"/>
        <v>1+0.0325403618349705i</v>
      </c>
      <c r="AN294" s="50">
        <f t="shared" si="295"/>
        <v>1.0005292974962556</v>
      </c>
      <c r="AO294" s="50">
        <f t="shared" si="296"/>
        <v>3.2528883732926242E-2</v>
      </c>
      <c r="AP294" s="50" t="str">
        <f t="shared" si="275"/>
        <v>1-0.0935591803766889i</v>
      </c>
      <c r="AQ294" s="50">
        <f t="shared" si="297"/>
        <v>1.0043671242293617</v>
      </c>
      <c r="AR294" s="50">
        <f t="shared" si="298"/>
        <v>-9.3287620696720447E-2</v>
      </c>
      <c r="AS294" s="59" t="str">
        <f t="shared" si="299"/>
        <v>-0.0948210179805621-4.00733284285625i</v>
      </c>
      <c r="AT294" s="50">
        <f t="shared" si="300"/>
        <v>12.059539181925526</v>
      </c>
      <c r="AU294" s="61">
        <f t="shared" si="301"/>
        <v>-91.355472772357203</v>
      </c>
      <c r="AV294" s="32" t="str">
        <f t="shared" si="276"/>
        <v>-0.0000333333333333333</v>
      </c>
      <c r="AW294" s="32" t="str">
        <f t="shared" si="277"/>
        <v>0.00173548596453176i</v>
      </c>
      <c r="AX294" s="32">
        <f t="shared" si="302"/>
        <v>1.73548596453176E-3</v>
      </c>
      <c r="AY294" s="32">
        <f t="shared" si="303"/>
        <v>1.5707963267948966</v>
      </c>
      <c r="AZ294" s="32" t="str">
        <f t="shared" si="278"/>
        <v>1+0.708054169557228i</v>
      </c>
      <c r="BA294" s="32">
        <f t="shared" si="304"/>
        <v>1.2252920904940894</v>
      </c>
      <c r="BB294" s="32">
        <f t="shared" si="305"/>
        <v>0.6161110188884612</v>
      </c>
      <c r="BC294" s="32" t="str">
        <f t="shared" si="279"/>
        <v>1+33.986600138747i</v>
      </c>
      <c r="BD294" s="32">
        <f t="shared" si="306"/>
        <v>34.001308636449238</v>
      </c>
      <c r="BE294" s="32">
        <f t="shared" si="307"/>
        <v>1.5413814524717613</v>
      </c>
      <c r="BF294" s="59" t="str">
        <f t="shared" si="308"/>
        <v>-0.42573830027316+0.320652694760053i</v>
      </c>
      <c r="BG294" s="50">
        <f t="shared" si="309"/>
        <v>-5.4657271620348089</v>
      </c>
      <c r="BH294" s="61">
        <f t="shared" si="310"/>
        <v>143.01409075256279</v>
      </c>
      <c r="BI294" s="59" t="str">
        <f t="shared" si="311"/>
        <v>0.275182116104841+0.24063036507117i</v>
      </c>
      <c r="BJ294" s="64">
        <f t="shared" si="312"/>
        <v>-8.741019803322537</v>
      </c>
      <c r="BK294" s="61">
        <f t="shared" si="313"/>
        <v>41.167761349409943</v>
      </c>
      <c r="BL294" s="59" t="str">
        <f t="shared" si="265"/>
        <v>1.32533101388754+1.67567045821107i</v>
      </c>
      <c r="BM294" s="64">
        <f t="shared" si="314"/>
        <v>6.5938120198907271</v>
      </c>
      <c r="BN294" s="61">
        <f t="shared" si="266"/>
        <v>51.658617980205477</v>
      </c>
      <c r="BO294" s="50">
        <f t="shared" si="315"/>
        <v>-8.741019803322537</v>
      </c>
      <c r="BP294" s="61">
        <f t="shared" si="316"/>
        <v>41.167761349409943</v>
      </c>
    </row>
    <row r="295" spans="14:68" x14ac:dyDescent="0.25">
      <c r="N295" s="11">
        <v>77</v>
      </c>
      <c r="O295" s="51">
        <f t="shared" si="317"/>
        <v>5888.4365535558973</v>
      </c>
      <c r="P295" s="49" t="str">
        <f t="shared" si="267"/>
        <v>37.1583961085025</v>
      </c>
      <c r="Q295" s="18" t="str">
        <f t="shared" si="268"/>
        <v>1+28.9995075366142i</v>
      </c>
      <c r="R295" s="18">
        <f t="shared" si="280"/>
        <v>29.01674408623655</v>
      </c>
      <c r="S295" s="18">
        <f t="shared" si="281"/>
        <v>1.5363266409120884</v>
      </c>
      <c r="T295" s="18" t="str">
        <f t="shared" si="269"/>
        <v>1+0.0332983242320055i</v>
      </c>
      <c r="U295" s="18">
        <f t="shared" si="282"/>
        <v>1.0005542356097743</v>
      </c>
      <c r="V295" s="18">
        <f t="shared" si="283"/>
        <v>3.3286025591997968E-2</v>
      </c>
      <c r="W295" s="32" t="str">
        <f t="shared" si="270"/>
        <v>1-0.291456686347848i</v>
      </c>
      <c r="X295" s="18">
        <f t="shared" si="284"/>
        <v>1.0416078916832705</v>
      </c>
      <c r="Y295" s="18">
        <f t="shared" si="285"/>
        <v>-0.28360058042563163</v>
      </c>
      <c r="Z295" s="32" t="str">
        <f t="shared" si="271"/>
        <v>0.999133157873869+0.0701731351407818i</v>
      </c>
      <c r="AA295" s="18">
        <f t="shared" si="286"/>
        <v>1.0015943969783856</v>
      </c>
      <c r="AB295" s="18">
        <f t="shared" si="287"/>
        <v>7.0118873687987873E-2</v>
      </c>
      <c r="AC295" s="32" t="str">
        <f>IMDIV(IMSUM(COMPLEX(0,2*PI()*O295*Constants!$B$61*Constants!$B$62),COMPLEX(1,0)),IMSUM(COMPLEX(0,2*PI()*O295*Constants!$B$61*Constants!$B$62),COMPLEX(2,0)))</f>
        <v>0.502722815797509+0.0367966598061182i</v>
      </c>
      <c r="AD295" s="18">
        <f t="shared" si="288"/>
        <v>0.5040676776944375</v>
      </c>
      <c r="AE295" s="18">
        <f t="shared" si="289"/>
        <v>7.3064433851102964E-2</v>
      </c>
      <c r="AF295" s="66" t="str">
        <f t="shared" si="290"/>
        <v>-0.141918367646967-0.65649653039004i</v>
      </c>
      <c r="AG295" s="64">
        <f t="shared" si="291"/>
        <v>-3.4569971868598834</v>
      </c>
      <c r="AH295" s="61">
        <f t="shared" si="292"/>
        <v>-102.19823185478822</v>
      </c>
      <c r="AI295" s="50" t="str">
        <f t="shared" si="272"/>
        <v>107.538871525172</v>
      </c>
      <c r="AJ295" s="50" t="str">
        <f t="shared" si="273"/>
        <v>1+27.5684177894851i</v>
      </c>
      <c r="AK295" s="50">
        <f t="shared" si="293"/>
        <v>27.586548523068238</v>
      </c>
      <c r="AL295" s="50">
        <f t="shared" si="294"/>
        <v>1.5345388321772599</v>
      </c>
      <c r="AM295" s="50" t="str">
        <f t="shared" si="274"/>
        <v>1+0.0332983242320055i</v>
      </c>
      <c r="AN295" s="50">
        <f t="shared" si="295"/>
        <v>1.0005542356097743</v>
      </c>
      <c r="AO295" s="50">
        <f t="shared" si="296"/>
        <v>3.3286025591997968E-2</v>
      </c>
      <c r="AP295" s="50" t="str">
        <f t="shared" si="275"/>
        <v>1-0.0957384536429971i</v>
      </c>
      <c r="AQ295" s="50">
        <f t="shared" si="297"/>
        <v>1.0045724720028677</v>
      </c>
      <c r="AR295" s="50">
        <f t="shared" si="298"/>
        <v>-9.5447543687543657E-2</v>
      </c>
      <c r="AS295" s="59" t="str">
        <f t="shared" si="299"/>
        <v>-0.101486592147148-3.91691628240008i</v>
      </c>
      <c r="AT295" s="50">
        <f t="shared" si="300"/>
        <v>11.861800308428045</v>
      </c>
      <c r="AU295" s="61">
        <f t="shared" si="301"/>
        <v>-91.484191217691972</v>
      </c>
      <c r="AV295" s="32" t="str">
        <f t="shared" si="276"/>
        <v>-0.0000333333333333333</v>
      </c>
      <c r="AW295" s="32" t="str">
        <f t="shared" si="277"/>
        <v>0.00177591062570696i</v>
      </c>
      <c r="AX295" s="32">
        <f t="shared" si="302"/>
        <v>1.7759106257069601E-3</v>
      </c>
      <c r="AY295" s="32">
        <f t="shared" si="303"/>
        <v>1.5707963267948966</v>
      </c>
      <c r="AZ295" s="32" t="str">
        <f t="shared" si="278"/>
        <v>1+0.724546869863082i</v>
      </c>
      <c r="BA295" s="32">
        <f t="shared" si="304"/>
        <v>1.2348960145001644</v>
      </c>
      <c r="BB295" s="32">
        <f t="shared" si="305"/>
        <v>0.62701111552423527</v>
      </c>
      <c r="BC295" s="32" t="str">
        <f t="shared" si="279"/>
        <v>1+34.778249753428i</v>
      </c>
      <c r="BD295" s="32">
        <f t="shared" si="306"/>
        <v>34.79262358477461</v>
      </c>
      <c r="BE295" s="32">
        <f t="shared" si="307"/>
        <v>1.5420506436793231</v>
      </c>
      <c r="BF295" s="59" t="str">
        <f t="shared" si="308"/>
        <v>-0.419142021930806+0.32245775334192i</v>
      </c>
      <c r="BG295" s="50">
        <f t="shared" si="309"/>
        <v>-5.5337114179461722</v>
      </c>
      <c r="BH295" s="61">
        <f t="shared" si="310"/>
        <v>142.42790305092865</v>
      </c>
      <c r="BI295" s="59" t="str">
        <f t="shared" si="311"/>
        <v>0.271176347831007+0.229402605148847i</v>
      </c>
      <c r="BJ295" s="64">
        <f t="shared" si="312"/>
        <v>-8.9907086048060485</v>
      </c>
      <c r="BK295" s="61">
        <f t="shared" si="313"/>
        <v>40.229671196140472</v>
      </c>
      <c r="BL295" s="59" t="str">
        <f t="shared" si="265"/>
        <v>1.30557731988254+1.60901907184077i</v>
      </c>
      <c r="BM295" s="64">
        <f t="shared" si="314"/>
        <v>6.3280888904818866</v>
      </c>
      <c r="BN295" s="61">
        <f t="shared" si="266"/>
        <v>50.943711833236634</v>
      </c>
      <c r="BO295" s="50">
        <f t="shared" si="315"/>
        <v>-8.9907086048060485</v>
      </c>
      <c r="BP295" s="61">
        <f t="shared" si="316"/>
        <v>40.229671196140472</v>
      </c>
    </row>
    <row r="296" spans="14:68" x14ac:dyDescent="0.25">
      <c r="N296" s="11">
        <v>78</v>
      </c>
      <c r="O296" s="51">
        <f t="shared" si="317"/>
        <v>6025.595860743585</v>
      </c>
      <c r="P296" s="49" t="str">
        <f t="shared" si="267"/>
        <v>37.1583961085025</v>
      </c>
      <c r="Q296" s="18" t="str">
        <f t="shared" si="268"/>
        <v>1+29.6749928418102i</v>
      </c>
      <c r="R296" s="18">
        <f t="shared" si="280"/>
        <v>29.691837264835712</v>
      </c>
      <c r="S296" s="18">
        <f t="shared" si="281"/>
        <v>1.5371106664318321</v>
      </c>
      <c r="T296" s="18" t="str">
        <f t="shared" si="269"/>
        <v>1+0.0340739418413036i</v>
      </c>
      <c r="U296" s="18">
        <f t="shared" si="282"/>
        <v>1.0005803483541962</v>
      </c>
      <c r="V296" s="18">
        <f t="shared" si="283"/>
        <v>3.406076402389073E-2</v>
      </c>
      <c r="W296" s="32" t="str">
        <f t="shared" si="270"/>
        <v>1-0.298245584693122i</v>
      </c>
      <c r="X296" s="18">
        <f t="shared" si="284"/>
        <v>1.0435278763832532</v>
      </c>
      <c r="Y296" s="18">
        <f t="shared" si="285"/>
        <v>-0.28984646296643962</v>
      </c>
      <c r="Z296" s="32" t="str">
        <f t="shared" si="271"/>
        <v>0.999092304863075+0.0718076774359323i</v>
      </c>
      <c r="AA296" s="18">
        <f t="shared" si="286"/>
        <v>1.001669494481765</v>
      </c>
      <c r="AB296" s="18">
        <f t="shared" si="287"/>
        <v>7.1749539943670559E-2</v>
      </c>
      <c r="AC296" s="32" t="str">
        <f>IMDIV(IMSUM(COMPLEX(0,2*PI()*O296*Constants!$B$61*Constants!$B$62),COMPLEX(1,0)),IMSUM(COMPLEX(0,2*PI()*O296*Constants!$B$61*Constants!$B$62),COMPLEX(2,0)))</f>
        <v>0.502850406610877+0.0376441029590416i</v>
      </c>
      <c r="AD296" s="18">
        <f t="shared" si="288"/>
        <v>0.50425748374844692</v>
      </c>
      <c r="AE296" s="18">
        <f t="shared" si="289"/>
        <v>7.4722056217243954E-2</v>
      </c>
      <c r="AF296" s="66" t="str">
        <f t="shared" si="290"/>
        <v>-0.142994583925776-0.642085050800152i</v>
      </c>
      <c r="AG296" s="64">
        <f t="shared" si="291"/>
        <v>-3.6379236565919699</v>
      </c>
      <c r="AH296" s="61">
        <f t="shared" si="292"/>
        <v>-102.55508220328753</v>
      </c>
      <c r="AI296" s="50" t="str">
        <f t="shared" si="272"/>
        <v>107.538871525172</v>
      </c>
      <c r="AJ296" s="50" t="str">
        <f t="shared" si="273"/>
        <v>1+28.2105687322482i</v>
      </c>
      <c r="AK296" s="50">
        <f t="shared" si="293"/>
        <v>28.228287022008612</v>
      </c>
      <c r="AL296" s="50">
        <f t="shared" si="294"/>
        <v>1.5353634548695698</v>
      </c>
      <c r="AM296" s="50" t="str">
        <f t="shared" si="274"/>
        <v>1+0.0340739418413036i</v>
      </c>
      <c r="AN296" s="50">
        <f t="shared" si="295"/>
        <v>1.0005803483541962</v>
      </c>
      <c r="AO296" s="50">
        <f t="shared" si="296"/>
        <v>3.406076402389073E-2</v>
      </c>
      <c r="AP296" s="50" t="str">
        <f t="shared" si="275"/>
        <v>1-0.0979684887046747i</v>
      </c>
      <c r="AQ296" s="50">
        <f t="shared" si="297"/>
        <v>1.0047874525386342</v>
      </c>
      <c r="AR296" s="50">
        <f t="shared" si="298"/>
        <v>-9.7656853229894272E-2</v>
      </c>
      <c r="AS296" s="59" t="str">
        <f t="shared" si="299"/>
        <v>-0.107852936779697-3.82855478030068i</v>
      </c>
      <c r="AT296" s="50">
        <f t="shared" si="300"/>
        <v>11.664142445376386</v>
      </c>
      <c r="AU296" s="61">
        <f t="shared" si="301"/>
        <v>-91.613633487692667</v>
      </c>
      <c r="AV296" s="32" t="str">
        <f t="shared" si="276"/>
        <v>-0.0000333333333333333</v>
      </c>
      <c r="AW296" s="32" t="str">
        <f t="shared" si="277"/>
        <v>0.00181727689820286i</v>
      </c>
      <c r="AX296" s="32">
        <f t="shared" si="302"/>
        <v>1.81727689820286E-3</v>
      </c>
      <c r="AY296" s="32">
        <f t="shared" si="303"/>
        <v>1.5707963267948966</v>
      </c>
      <c r="AZ296" s="32" t="str">
        <f t="shared" si="278"/>
        <v>1+0.741423734509847i</v>
      </c>
      <c r="BA296" s="32">
        <f t="shared" si="304"/>
        <v>1.2448731477923878</v>
      </c>
      <c r="BB296" s="32">
        <f t="shared" si="305"/>
        <v>0.63798966600938856</v>
      </c>
      <c r="BC296" s="32" t="str">
        <f t="shared" si="279"/>
        <v>1+35.5883392564727i</v>
      </c>
      <c r="BD296" s="32">
        <f t="shared" si="306"/>
        <v>35.602386030065396</v>
      </c>
      <c r="BE296" s="32">
        <f t="shared" si="307"/>
        <v>1.5427046271206903</v>
      </c>
      <c r="BF296" s="59" t="str">
        <f t="shared" si="308"/>
        <v>-0.41245045178442+0.324143016749035i</v>
      </c>
      <c r="BG296" s="50">
        <f t="shared" si="309"/>
        <v>-5.6037670961160284</v>
      </c>
      <c r="BH296" s="61">
        <f t="shared" si="310"/>
        <v>141.83634893401987</v>
      </c>
      <c r="BI296" s="59" t="str">
        <f t="shared" si="311"/>
        <v>0.26710556611873+0.218477573474071i</v>
      </c>
      <c r="BJ296" s="64">
        <f t="shared" si="312"/>
        <v>-9.2416907527079957</v>
      </c>
      <c r="BK296" s="61">
        <f t="shared" si="313"/>
        <v>39.281266730732376</v>
      </c>
      <c r="BL296" s="59" t="str">
        <f t="shared" si="265"/>
        <v>1.28548328877666+1.5441293725234i</v>
      </c>
      <c r="BM296" s="64">
        <f t="shared" si="314"/>
        <v>6.0603753492603394</v>
      </c>
      <c r="BN296" s="61">
        <f t="shared" si="266"/>
        <v>50.22271544632725</v>
      </c>
      <c r="BO296" s="50">
        <f t="shared" si="315"/>
        <v>-9.2416907527079957</v>
      </c>
      <c r="BP296" s="61">
        <f t="shared" si="316"/>
        <v>39.281266730732376</v>
      </c>
    </row>
    <row r="297" spans="14:68" x14ac:dyDescent="0.25">
      <c r="N297" s="11">
        <v>79</v>
      </c>
      <c r="O297" s="51">
        <f t="shared" si="317"/>
        <v>6165.9500186148289</v>
      </c>
      <c r="P297" s="49" t="str">
        <f t="shared" si="267"/>
        <v>37.1583961085025</v>
      </c>
      <c r="Q297" s="18" t="str">
        <f t="shared" si="268"/>
        <v>1+30.3662122210059i</v>
      </c>
      <c r="R297" s="18">
        <f t="shared" si="280"/>
        <v>30.38267342830726</v>
      </c>
      <c r="S297" s="18">
        <f t="shared" si="281"/>
        <v>1.5378768853857976</v>
      </c>
      <c r="T297" s="18" t="str">
        <f t="shared" si="269"/>
        <v>1+0.034867625905588i</v>
      </c>
      <c r="U297" s="18">
        <f t="shared" si="282"/>
        <v>1.0006076910239556</v>
      </c>
      <c r="V297" s="18">
        <f t="shared" si="283"/>
        <v>3.4853506082944415E-2</v>
      </c>
      <c r="W297" s="32" t="str">
        <f t="shared" si="270"/>
        <v>1-0.305192616795148i</v>
      </c>
      <c r="X297" s="18">
        <f t="shared" si="284"/>
        <v>1.0455345682215724</v>
      </c>
      <c r="Y297" s="18">
        <f t="shared" si="285"/>
        <v>-0.29621382859709183</v>
      </c>
      <c r="Z297" s="32" t="str">
        <f t="shared" si="271"/>
        <v>0.999049526509199+0.0734802931121464i</v>
      </c>
      <c r="AA297" s="18">
        <f t="shared" si="286"/>
        <v>1.0017481269730937</v>
      </c>
      <c r="AB297" s="18">
        <f t="shared" si="287"/>
        <v>7.3418002941428487E-2</v>
      </c>
      <c r="AC297" s="32" t="str">
        <f>IMDIV(IMSUM(COMPLEX(0,2*PI()*O297*Constants!$B$61*Constants!$B$62),COMPLEX(1,0)),IMSUM(COMPLEX(0,2*PI()*O297*Constants!$B$61*Constants!$B$62),COMPLEX(2,0)))</f>
        <v>0.502983940437392+0.03851060007533i</v>
      </c>
      <c r="AD297" s="18">
        <f t="shared" si="288"/>
        <v>0.50445605423672724</v>
      </c>
      <c r="AE297" s="18">
        <f t="shared" si="289"/>
        <v>7.6415188867980405E-2</v>
      </c>
      <c r="AF297" s="66" t="str">
        <f t="shared" si="290"/>
        <v>-0.144029357199845-0.628010281776754i</v>
      </c>
      <c r="AG297" s="64">
        <f t="shared" si="291"/>
        <v>-3.8180398606237387</v>
      </c>
      <c r="AH297" s="61">
        <f t="shared" si="292"/>
        <v>-102.91697225156169</v>
      </c>
      <c r="AI297" s="50" t="str">
        <f t="shared" si="272"/>
        <v>107.538871525172</v>
      </c>
      <c r="AJ297" s="50" t="str">
        <f t="shared" si="273"/>
        <v>1+28.8676772919642i</v>
      </c>
      <c r="AK297" s="50">
        <f t="shared" si="293"/>
        <v>28.884992508792269</v>
      </c>
      <c r="AL297" s="50">
        <f t="shared" si="294"/>
        <v>1.5361693534441407</v>
      </c>
      <c r="AM297" s="50" t="str">
        <f t="shared" si="274"/>
        <v>1+0.034867625905588i</v>
      </c>
      <c r="AN297" s="50">
        <f t="shared" si="295"/>
        <v>1.0006076910239556</v>
      </c>
      <c r="AO297" s="50">
        <f t="shared" si="296"/>
        <v>3.4853506082944415E-2</v>
      </c>
      <c r="AP297" s="50" t="str">
        <f t="shared" si="275"/>
        <v>1-0.10025046795583i</v>
      </c>
      <c r="AQ297" s="50">
        <f t="shared" si="297"/>
        <v>1.0050125155068284</v>
      </c>
      <c r="AR297" s="50">
        <f t="shared" si="298"/>
        <v>-9.9916634411501976E-2</v>
      </c>
      <c r="AS297" s="59" t="str">
        <f t="shared" si="299"/>
        <v>-0.113933451735367-3.74220293373544i</v>
      </c>
      <c r="AT297" s="50">
        <f t="shared" si="300"/>
        <v>11.466570447701647</v>
      </c>
      <c r="AU297" s="61">
        <f t="shared" si="301"/>
        <v>-91.743863224834143</v>
      </c>
      <c r="AV297" s="32" t="str">
        <f t="shared" si="276"/>
        <v>-0.0000333333333333333</v>
      </c>
      <c r="AW297" s="32" t="str">
        <f t="shared" si="277"/>
        <v>0.00185960671496469i</v>
      </c>
      <c r="AX297" s="32">
        <f t="shared" si="302"/>
        <v>1.8596067149646901E-3</v>
      </c>
      <c r="AY297" s="32">
        <f t="shared" si="303"/>
        <v>1.5707963267948966</v>
      </c>
      <c r="AZ297" s="32" t="str">
        <f t="shared" si="278"/>
        <v>1+0.758693711834554i</v>
      </c>
      <c r="BA297" s="32">
        <f t="shared" si="304"/>
        <v>1.2552354951869762</v>
      </c>
      <c r="BB297" s="32">
        <f t="shared" si="305"/>
        <v>0.64904190578412724</v>
      </c>
      <c r="BC297" s="32" t="str">
        <f t="shared" si="279"/>
        <v>1+36.4172981680586i</v>
      </c>
      <c r="BD297" s="32">
        <f t="shared" si="306"/>
        <v>36.431025319928679</v>
      </c>
      <c r="BE297" s="32">
        <f t="shared" si="307"/>
        <v>1.5433437473076197</v>
      </c>
      <c r="BF297" s="59" t="str">
        <f t="shared" si="308"/>
        <v>-0.405668754664023+0.325703270317392i</v>
      </c>
      <c r="BG297" s="50">
        <f t="shared" si="309"/>
        <v>-5.6759235560127772</v>
      </c>
      <c r="BH297" s="61">
        <f t="shared" si="310"/>
        <v>141.23972113007349</v>
      </c>
      <c r="BI297" s="59" t="str">
        <f t="shared" si="311"/>
        <v>0.262973212537956+0.207853316262877i</v>
      </c>
      <c r="BJ297" s="64">
        <f t="shared" si="312"/>
        <v>-9.4939634166365181</v>
      </c>
      <c r="BK297" s="61">
        <f t="shared" si="313"/>
        <v>38.322748878511916</v>
      </c>
      <c r="BL297" s="59" t="str">
        <f t="shared" si="265"/>
        <v>1.26506697518903+1.48098630599975i</v>
      </c>
      <c r="BM297" s="64">
        <f t="shared" si="314"/>
        <v>5.790646891688862</v>
      </c>
      <c r="BN297" s="61">
        <f t="shared" si="266"/>
        <v>49.495857905239347</v>
      </c>
      <c r="BO297" s="50">
        <f t="shared" si="315"/>
        <v>-9.4939634166365181</v>
      </c>
      <c r="BP297" s="61">
        <f t="shared" si="316"/>
        <v>38.322748878511916</v>
      </c>
    </row>
    <row r="298" spans="14:68" x14ac:dyDescent="0.25">
      <c r="N298" s="11">
        <v>80</v>
      </c>
      <c r="O298" s="51">
        <f t="shared" si="317"/>
        <v>6309.5734448019384</v>
      </c>
      <c r="P298" s="49" t="str">
        <f t="shared" si="267"/>
        <v>37.1583961085025</v>
      </c>
      <c r="Q298" s="18" t="str">
        <f t="shared" si="268"/>
        <v>1+31.0735321678655i</v>
      </c>
      <c r="R298" s="18">
        <f t="shared" si="280"/>
        <v>31.08961886848039</v>
      </c>
      <c r="S298" s="18">
        <f t="shared" si="281"/>
        <v>1.5386257004326342</v>
      </c>
      <c r="T298" s="18" t="str">
        <f t="shared" si="269"/>
        <v>1+0.035679797246655i</v>
      </c>
      <c r="U298" s="18">
        <f t="shared" si="282"/>
        <v>1.000636321513247</v>
      </c>
      <c r="V298" s="18">
        <f t="shared" si="283"/>
        <v>3.5664668103688145E-2</v>
      </c>
      <c r="W298" s="32" t="str">
        <f t="shared" si="270"/>
        <v>1-0.3123014660623i</v>
      </c>
      <c r="X298" s="18">
        <f t="shared" si="284"/>
        <v>1.0476317128192818</v>
      </c>
      <c r="Y298" s="18">
        <f t="shared" si="285"/>
        <v>-0.30270398737718407</v>
      </c>
      <c r="Z298" s="32" t="str">
        <f t="shared" si="271"/>
        <v>0.999004732073616+0.0751918690123951i</v>
      </c>
      <c r="AA298" s="18">
        <f t="shared" si="286"/>
        <v>1.0018304606424455</v>
      </c>
      <c r="AB298" s="18">
        <f t="shared" si="287"/>
        <v>7.5125129808894506E-2</v>
      </c>
      <c r="AC298" s="32" t="str">
        <f>IMDIV(IMSUM(COMPLEX(0,2*PI()*O298*Constants!$B$61*Constants!$B$62),COMPLEX(1,0)),IMSUM(COMPLEX(0,2*PI()*O298*Constants!$B$61*Constants!$B$62),COMPLEX(2,0)))</f>
        <v>0.503123690656063+0.0393965466090176i</v>
      </c>
      <c r="AD298" s="18">
        <f t="shared" si="288"/>
        <v>0.50466378509270338</v>
      </c>
      <c r="AE298" s="18">
        <f t="shared" si="289"/>
        <v>7.8144444974752439E-2</v>
      </c>
      <c r="AF298" s="66" t="str">
        <f t="shared" si="290"/>
        <v>-0.145024860048547-0.614264913516145i</v>
      </c>
      <c r="AG298" s="64">
        <f t="shared" si="291"/>
        <v>-3.9973126020726824</v>
      </c>
      <c r="AH298" s="61">
        <f t="shared" si="292"/>
        <v>-103.28399082754437</v>
      </c>
      <c r="AI298" s="50" t="str">
        <f t="shared" si="272"/>
        <v>107.538871525172</v>
      </c>
      <c r="AJ298" s="50" t="str">
        <f t="shared" si="273"/>
        <v>1+29.5400918762891i</v>
      </c>
      <c r="AK298" s="50">
        <f t="shared" si="293"/>
        <v>29.557013178932699</v>
      </c>
      <c r="AL298" s="50">
        <f t="shared" si="294"/>
        <v>1.5369569510094008</v>
      </c>
      <c r="AM298" s="50" t="str">
        <f t="shared" si="274"/>
        <v>1+0.035679797246655i</v>
      </c>
      <c r="AN298" s="50">
        <f t="shared" si="295"/>
        <v>1.000636321513247</v>
      </c>
      <c r="AO298" s="50">
        <f t="shared" si="296"/>
        <v>3.5664668103688145E-2</v>
      </c>
      <c r="AP298" s="50" t="str">
        <f t="shared" si="275"/>
        <v>1-0.102585601332067i</v>
      </c>
      <c r="AQ298" s="50">
        <f t="shared" si="297"/>
        <v>1.0052481313589505</v>
      </c>
      <c r="AR298" s="50">
        <f t="shared" si="298"/>
        <v>-0.10222799302899523</v>
      </c>
      <c r="AS298" s="59" t="str">
        <f t="shared" si="299"/>
        <v>-0.119740939718329-3.65781630919681i</v>
      </c>
      <c r="AT298" s="50">
        <f t="shared" si="300"/>
        <v>11.269089342086902</v>
      </c>
      <c r="AU298" s="61">
        <f t="shared" si="301"/>
        <v>-91.874944174711928</v>
      </c>
      <c r="AV298" s="32" t="str">
        <f t="shared" si="276"/>
        <v>-0.0000333333333333333</v>
      </c>
      <c r="AW298" s="32" t="str">
        <f t="shared" si="277"/>
        <v>0.0019029225198216i</v>
      </c>
      <c r="AX298" s="32">
        <f t="shared" si="302"/>
        <v>1.9029225198216001E-3</v>
      </c>
      <c r="AY298" s="32">
        <f t="shared" si="303"/>
        <v>1.5707963267948966</v>
      </c>
      <c r="AZ298" s="32" t="str">
        <f t="shared" si="278"/>
        <v>1+0.776365958607772i</v>
      </c>
      <c r="BA298" s="32">
        <f t="shared" si="304"/>
        <v>1.2659953008147244</v>
      </c>
      <c r="BB298" s="32">
        <f t="shared" si="305"/>
        <v>0.66016289485947566</v>
      </c>
      <c r="BC298" s="32" t="str">
        <f t="shared" si="279"/>
        <v>1+37.2655660131731i</v>
      </c>
      <c r="BD298" s="32">
        <f t="shared" si="306"/>
        <v>37.278980810668124</v>
      </c>
      <c r="BE298" s="32">
        <f t="shared" si="307"/>
        <v>1.5439683410203833</v>
      </c>
      <c r="BF298" s="59" t="str">
        <f t="shared" si="308"/>
        <v>-0.39880242895218+0.327133545732794i</v>
      </c>
      <c r="BG298" s="50">
        <f t="shared" si="309"/>
        <v>-5.7502084731731582</v>
      </c>
      <c r="BH298" s="61">
        <f t="shared" si="310"/>
        <v>140.63832197569678</v>
      </c>
      <c r="BI298" s="59" t="str">
        <f t="shared" si="311"/>
        <v>0.258782925623595+0.197527842843256i</v>
      </c>
      <c r="BJ298" s="64">
        <f t="shared" si="312"/>
        <v>-9.7475210752458423</v>
      </c>
      <c r="BK298" s="61">
        <f t="shared" si="313"/>
        <v>37.354331148152433</v>
      </c>
      <c r="BL298" s="59" t="str">
        <f t="shared" si="265"/>
        <v>1.24434739647148+1.41957475058915i</v>
      </c>
      <c r="BM298" s="64">
        <f t="shared" si="314"/>
        <v>5.5188808689137359</v>
      </c>
      <c r="BN298" s="61">
        <f t="shared" si="266"/>
        <v>48.763377800984834</v>
      </c>
      <c r="BO298" s="50">
        <f t="shared" si="315"/>
        <v>-9.7475210752458423</v>
      </c>
      <c r="BP298" s="61">
        <f t="shared" si="316"/>
        <v>37.354331148152433</v>
      </c>
    </row>
    <row r="299" spans="14:68" x14ac:dyDescent="0.25">
      <c r="N299" s="11">
        <v>81</v>
      </c>
      <c r="O299" s="51">
        <f t="shared" si="317"/>
        <v>6456.5422903465615</v>
      </c>
      <c r="P299" s="49" t="str">
        <f t="shared" si="267"/>
        <v>37.1583961085025</v>
      </c>
      <c r="Q299" s="18" t="str">
        <f t="shared" si="268"/>
        <v>1+31.7973277127874i</v>
      </c>
      <c r="R299" s="18">
        <f t="shared" si="280"/>
        <v>31.81304841844613</v>
      </c>
      <c r="S299" s="18">
        <f t="shared" si="281"/>
        <v>1.539357505243043</v>
      </c>
      <c r="T299" s="18" t="str">
        <f t="shared" si="269"/>
        <v>1+0.0365108864885003i</v>
      </c>
      <c r="U299" s="18">
        <f t="shared" si="282"/>
        <v>1.0006663004379512</v>
      </c>
      <c r="V299" s="18">
        <f t="shared" si="283"/>
        <v>3.6494675902671733E-2</v>
      </c>
      <c r="W299" s="32" t="str">
        <f t="shared" si="270"/>
        <v>1-0.319575901700558i</v>
      </c>
      <c r="X299" s="18">
        <f t="shared" si="284"/>
        <v>1.0498232027097347</v>
      </c>
      <c r="Y299" s="18">
        <f t="shared" si="285"/>
        <v>-0.30931819264318605</v>
      </c>
      <c r="Z299" s="32" t="str">
        <f t="shared" si="271"/>
        <v>0.998957826541324+0.0769433126368764i</v>
      </c>
      <c r="AA299" s="18">
        <f t="shared" si="286"/>
        <v>1.0019166694729169</v>
      </c>
      <c r="AB299" s="18">
        <f t="shared" si="287"/>
        <v>7.6871806929372136E-2</v>
      </c>
      <c r="AC299" s="32" t="str">
        <f>IMDIV(IMSUM(COMPLEX(0,2*PI()*O299*Constants!$B$61*Constants!$B$62),COMPLEX(1,0)),IMSUM(COMPLEX(0,2*PI()*O299*Constants!$B$61*Constants!$B$62),COMPLEX(2,0)))</f>
        <v>0.503269942891923+0.0403023438455539i</v>
      </c>
      <c r="AD299" s="18">
        <f t="shared" si="288"/>
        <v>0.50488108930508047</v>
      </c>
      <c r="AE299" s="18">
        <f t="shared" si="289"/>
        <v>7.9910437610228716E-2</v>
      </c>
      <c r="AF299" s="66" t="str">
        <f t="shared" si="290"/>
        <v>-0.145983182097629-0.600841794007004i</v>
      </c>
      <c r="AG299" s="64">
        <f t="shared" si="291"/>
        <v>-4.1757076639956097</v>
      </c>
      <c r="AH299" s="61">
        <f t="shared" si="292"/>
        <v>-103.65622355985003</v>
      </c>
      <c r="AI299" s="50" t="str">
        <f t="shared" si="272"/>
        <v>107.538871525172</v>
      </c>
      <c r="AJ299" s="50" t="str">
        <f t="shared" si="273"/>
        <v>1+30.2281690083364i</v>
      </c>
      <c r="AK299" s="50">
        <f t="shared" si="293"/>
        <v>30.244705348152248</v>
      </c>
      <c r="AL299" s="50">
        <f t="shared" si="294"/>
        <v>1.5377266612493341</v>
      </c>
      <c r="AM299" s="50" t="str">
        <f t="shared" si="274"/>
        <v>1+0.0365108864885003i</v>
      </c>
      <c r="AN299" s="50">
        <f t="shared" si="295"/>
        <v>1.0006663004379512</v>
      </c>
      <c r="AO299" s="50">
        <f t="shared" si="296"/>
        <v>3.6494675902671733E-2</v>
      </c>
      <c r="AP299" s="50" t="str">
        <f t="shared" si="275"/>
        <v>1-0.104975126952012i</v>
      </c>
      <c r="AQ299" s="50">
        <f t="shared" si="297"/>
        <v>1.0054947922682598</v>
      </c>
      <c r="AR299" s="50">
        <f t="shared" si="298"/>
        <v>-0.10459205575597366</v>
      </c>
      <c r="AS299" s="59" t="str">
        <f t="shared" si="299"/>
        <v>-0.125287632635515-3.57535142531335i</v>
      </c>
      <c r="AT299" s="50">
        <f t="shared" si="300"/>
        <v>11.071704336613825</v>
      </c>
      <c r="AU299" s="61">
        <f t="shared" si="301"/>
        <v>-92.006940195823475</v>
      </c>
      <c r="AV299" s="32" t="str">
        <f t="shared" si="276"/>
        <v>-0.0000333333333333333</v>
      </c>
      <c r="AW299" s="32" t="str">
        <f t="shared" si="277"/>
        <v>0.00194724727938668i</v>
      </c>
      <c r="AX299" s="32">
        <f t="shared" si="302"/>
        <v>1.9472472793866801E-3</v>
      </c>
      <c r="AY299" s="32">
        <f t="shared" si="303"/>
        <v>1.5707963267948966</v>
      </c>
      <c r="AZ299" s="32" t="str">
        <f t="shared" si="278"/>
        <v>1+0.794449844888664i</v>
      </c>
      <c r="BA299" s="32">
        <f t="shared" si="304"/>
        <v>1.2771650465165503</v>
      </c>
      <c r="BB299" s="32">
        <f t="shared" si="305"/>
        <v>0.67134752698438926</v>
      </c>
      <c r="BC299" s="32" t="str">
        <f t="shared" si="279"/>
        <v>1+38.1335925546559i</v>
      </c>
      <c r="BD299" s="32">
        <f t="shared" si="306"/>
        <v>38.146702100240695</v>
      </c>
      <c r="BE299" s="32">
        <f t="shared" si="307"/>
        <v>1.5445787374764004</v>
      </c>
      <c r="BF299" s="59" t="str">
        <f t="shared" si="308"/>
        <v>-0.39185729261625+0.328429147340442i</v>
      </c>
      <c r="BG299" s="50">
        <f t="shared" si="309"/>
        <v>-5.8266477376400205</v>
      </c>
      <c r="BH299" s="61">
        <f t="shared" si="310"/>
        <v>140.03246290029239</v>
      </c>
      <c r="BI299" s="59" t="str">
        <f t="shared" si="311"/>
        <v>0.254538532596504+0.187499106667906i</v>
      </c>
      <c r="BJ299" s="64">
        <f t="shared" si="312"/>
        <v>-10.002355401635633</v>
      </c>
      <c r="BK299" s="61">
        <f t="shared" si="313"/>
        <v>36.376239340442282</v>
      </c>
      <c r="BL299" s="59" t="str">
        <f t="shared" si="265"/>
        <v>1.22334449258095+1.35987941931616i</v>
      </c>
      <c r="BM299" s="64">
        <f t="shared" si="314"/>
        <v>5.2450565989738243</v>
      </c>
      <c r="BN299" s="61">
        <f t="shared" si="266"/>
        <v>48.025522704469019</v>
      </c>
      <c r="BO299" s="50">
        <f t="shared" si="315"/>
        <v>-10.002355401635633</v>
      </c>
      <c r="BP299" s="61">
        <f t="shared" si="316"/>
        <v>36.376239340442282</v>
      </c>
    </row>
    <row r="300" spans="14:68" x14ac:dyDescent="0.25">
      <c r="N300" s="11">
        <v>82</v>
      </c>
      <c r="O300" s="51">
        <f t="shared" si="317"/>
        <v>6606.9344800759654</v>
      </c>
      <c r="P300" s="49" t="str">
        <f t="shared" si="267"/>
        <v>37.1583961085025</v>
      </c>
      <c r="Q300" s="18" t="str">
        <f t="shared" si="268"/>
        <v>1+32.53798262175i</v>
      </c>
      <c r="R300" s="18">
        <f t="shared" si="280"/>
        <v>32.55334565130449</v>
      </c>
      <c r="S300" s="18">
        <f t="shared" si="281"/>
        <v>1.5400726846925523</v>
      </c>
      <c r="T300" s="18" t="str">
        <f t="shared" si="269"/>
        <v>1+0.0373613342856404i</v>
      </c>
      <c r="U300" s="18">
        <f t="shared" si="282"/>
        <v>1.0006976912632524</v>
      </c>
      <c r="V300" s="18">
        <f t="shared" si="283"/>
        <v>3.7343964983979162E-2</v>
      </c>
      <c r="W300" s="32" t="str">
        <f t="shared" si="270"/>
        <v>1-0.327019780711984i</v>
      </c>
      <c r="X300" s="18">
        <f t="shared" si="284"/>
        <v>1.052113081839074</v>
      </c>
      <c r="Y300" s="18">
        <f t="shared" si="285"/>
        <v>-0.3160576356603485</v>
      </c>
      <c r="Z300" s="32" t="str">
        <f t="shared" si="271"/>
        <v>0.9989087104194+0.0787355526241827i</v>
      </c>
      <c r="AA300" s="18">
        <f t="shared" si="286"/>
        <v>1.0020069356041326</v>
      </c>
      <c r="AB300" s="18">
        <f t="shared" si="287"/>
        <v>7.8658940323793003E-2</v>
      </c>
      <c r="AC300" s="32" t="str">
        <f>IMDIV(IMSUM(COMPLEX(0,2*PI()*O300*Constants!$B$61*Constants!$B$62),COMPLEX(1,0)),IMSUM(COMPLEX(0,2*PI()*O300*Constants!$B$61*Constants!$B$62),COMPLEX(2,0)))</f>
        <v>0.503422995532961+0.0412283988054555i</v>
      </c>
      <c r="AD300" s="18">
        <f t="shared" si="288"/>
        <v>0.50510839757367065</v>
      </c>
      <c r="AE300" s="18">
        <f t="shared" si="289"/>
        <v>8.1713778824978003E-2</v>
      </c>
      <c r="AF300" s="66" t="str">
        <f t="shared" si="290"/>
        <v>-0.146906334268569-0.587733925896202i</v>
      </c>
      <c r="AG300" s="64">
        <f t="shared" si="291"/>
        <v>-4.3531897982935197</v>
      </c>
      <c r="AH300" s="61">
        <f t="shared" si="292"/>
        <v>-104.0337526454083</v>
      </c>
      <c r="AI300" s="50" t="str">
        <f t="shared" si="272"/>
        <v>107.538871525172</v>
      </c>
      <c r="AJ300" s="50" t="str">
        <f t="shared" si="273"/>
        <v>1+30.9322735157088i</v>
      </c>
      <c r="AK300" s="50">
        <f t="shared" si="293"/>
        <v>30.948433641310835</v>
      </c>
      <c r="AL300" s="50">
        <f t="shared" si="294"/>
        <v>1.5384788886242708</v>
      </c>
      <c r="AM300" s="50" t="str">
        <f t="shared" si="274"/>
        <v>1+0.0373613342856404i</v>
      </c>
      <c r="AN300" s="50">
        <f t="shared" si="295"/>
        <v>1.0006976912632524</v>
      </c>
      <c r="AO300" s="50">
        <f t="shared" si="296"/>
        <v>3.7343964983979162E-2</v>
      </c>
      <c r="AP300" s="50" t="str">
        <f t="shared" si="275"/>
        <v>1-0.107420311773776i</v>
      </c>
      <c r="AQ300" s="50">
        <f t="shared" si="297"/>
        <v>1.0057530131108607</v>
      </c>
      <c r="AR300" s="50">
        <f t="shared" si="298"/>
        <v>-0.10700997029396815</v>
      </c>
      <c r="AS300" s="59" t="str">
        <f t="shared" si="299"/>
        <v>-0.130585216811662-3.49476573575505i</v>
      </c>
      <c r="AT300" s="50">
        <f t="shared" si="300"/>
        <v>10.874420830703793</v>
      </c>
      <c r="AU300" s="61">
        <f t="shared" si="301"/>
        <v>-92.139915267946478</v>
      </c>
      <c r="AV300" s="32" t="str">
        <f t="shared" si="276"/>
        <v>-0.0000333333333333333</v>
      </c>
      <c r="AW300" s="32" t="str">
        <f t="shared" si="277"/>
        <v>0.00199260449523415i</v>
      </c>
      <c r="AX300" s="32">
        <f t="shared" si="302"/>
        <v>1.9926044952341499E-3</v>
      </c>
      <c r="AY300" s="32">
        <f t="shared" si="303"/>
        <v>1.5707963267948966</v>
      </c>
      <c r="AZ300" s="32" t="str">
        <f t="shared" si="278"/>
        <v>1+0.812954958993101i</v>
      </c>
      <c r="BA300" s="32">
        <f t="shared" si="304"/>
        <v>1.2887574501633248</v>
      </c>
      <c r="BB300" s="32">
        <f t="shared" si="305"/>
        <v>0.68259053974940198</v>
      </c>
      <c r="BC300" s="32" t="str">
        <f t="shared" si="279"/>
        <v>1+39.0218380316689i</v>
      </c>
      <c r="BD300" s="32">
        <f t="shared" si="306"/>
        <v>39.034649266642596</v>
      </c>
      <c r="BE300" s="32">
        <f t="shared" si="307"/>
        <v>1.545175258495519</v>
      </c>
      <c r="BF300" s="59" t="str">
        <f t="shared" si="308"/>
        <v>-0.384839466795486+0.329585677556052i</v>
      </c>
      <c r="BG300" s="50">
        <f t="shared" si="309"/>
        <v>-5.9052653571235503</v>
      </c>
      <c r="BH300" s="61">
        <f t="shared" si="310"/>
        <v>139.42246385663159</v>
      </c>
      <c r="BI300" s="59" t="str">
        <f t="shared" si="311"/>
        <v>0.250244039537974+0.17776498694233i</v>
      </c>
      <c r="BJ300" s="64">
        <f t="shared" si="312"/>
        <v>-10.258455155417064</v>
      </c>
      <c r="BK300" s="61">
        <f t="shared" si="313"/>
        <v>35.388711211223296</v>
      </c>
      <c r="BL300" s="59" t="str">
        <f t="shared" si="265"/>
        <v>1.20207907812768+1.30188476516143i</v>
      </c>
      <c r="BM300" s="64">
        <f t="shared" si="314"/>
        <v>4.9691554735802477</v>
      </c>
      <c r="BN300" s="61">
        <f t="shared" si="266"/>
        <v>47.282548588684975</v>
      </c>
      <c r="BO300" s="50">
        <f t="shared" si="315"/>
        <v>-10.258455155417064</v>
      </c>
      <c r="BP300" s="61">
        <f t="shared" si="316"/>
        <v>35.388711211223296</v>
      </c>
    </row>
    <row r="301" spans="14:68" x14ac:dyDescent="0.25">
      <c r="N301" s="11">
        <v>83</v>
      </c>
      <c r="O301" s="51">
        <f t="shared" si="317"/>
        <v>6760.8297539198229</v>
      </c>
      <c r="P301" s="49" t="str">
        <f t="shared" si="267"/>
        <v>37.1583961085025</v>
      </c>
      <c r="Q301" s="18" t="str">
        <f t="shared" si="268"/>
        <v>1+33.2958895997897i</v>
      </c>
      <c r="R301" s="18">
        <f t="shared" si="280"/>
        <v>33.310903083545846</v>
      </c>
      <c r="S301" s="18">
        <f t="shared" si="281"/>
        <v>1.5407716150506896</v>
      </c>
      <c r="T301" s="18" t="str">
        <f t="shared" si="269"/>
        <v>1+0.0382315915567545i</v>
      </c>
      <c r="U301" s="18">
        <f t="shared" si="282"/>
        <v>1.000730560437205</v>
      </c>
      <c r="V301" s="18">
        <f t="shared" si="283"/>
        <v>3.821298074844242E-2</v>
      </c>
      <c r="W301" s="32" t="str">
        <f t="shared" si="270"/>
        <v>1-0.334637049939762i</v>
      </c>
      <c r="X301" s="18">
        <f t="shared" si="284"/>
        <v>1.054505550100324</v>
      </c>
      <c r="Y301" s="18">
        <f t="shared" si="285"/>
        <v>-0.32292344007122697</v>
      </c>
      <c r="Z301" s="32" t="str">
        <f t="shared" si="271"/>
        <v>0.998857279525963+0.0805695392436787i</v>
      </c>
      <c r="AA301" s="18">
        <f t="shared" si="286"/>
        <v>1.0021014497125262</v>
      </c>
      <c r="AB301" s="18">
        <f t="shared" si="287"/>
        <v>8.0487456036913332E-2</v>
      </c>
      <c r="AC301" s="32" t="str">
        <f>IMDIV(IMSUM(COMPLEX(0,2*PI()*O301*Constants!$B$61*Constants!$B$62),COMPLEX(1,0)),IMSUM(COMPLEX(0,2*PI()*O301*Constants!$B$61*Constants!$B$62),COMPLEX(2,0)))</f>
        <v>0.503583160265785+0.0421751241302518i</v>
      </c>
      <c r="AD301" s="18">
        <f t="shared" si="288"/>
        <v>0.50534615898280788</v>
      </c>
      <c r="AE301" s="18">
        <f t="shared" si="289"/>
        <v>8.3555078649064612E-2</v>
      </c>
      <c r="AF301" s="66" t="str">
        <f t="shared" si="290"/>
        <v>-0.147796252862725-0.574934463362302i</v>
      </c>
      <c r="AG301" s="64">
        <f t="shared" si="291"/>
        <v>-4.5297227167632093</v>
      </c>
      <c r="AH301" s="61">
        <f t="shared" si="292"/>
        <v>-104.41665660957158</v>
      </c>
      <c r="AI301" s="50" t="str">
        <f t="shared" si="272"/>
        <v>107.538871525172</v>
      </c>
      <c r="AJ301" s="50" t="str">
        <f t="shared" si="273"/>
        <v>1+31.6527787239364i</v>
      </c>
      <c r="AK301" s="50">
        <f t="shared" si="293"/>
        <v>31.66857118574314</v>
      </c>
      <c r="AL301" s="50">
        <f t="shared" si="294"/>
        <v>1.5392140285680163</v>
      </c>
      <c r="AM301" s="50" t="str">
        <f t="shared" si="274"/>
        <v>1+0.0382315915567545i</v>
      </c>
      <c r="AN301" s="50">
        <f t="shared" si="295"/>
        <v>1.000730560437205</v>
      </c>
      <c r="AO301" s="50">
        <f t="shared" si="296"/>
        <v>3.821298074844242E-2</v>
      </c>
      <c r="AP301" s="50" t="str">
        <f t="shared" si="275"/>
        <v>1-0.109922452266718i</v>
      </c>
      <c r="AQ301" s="50">
        <f t="shared" si="297"/>
        <v>1.0060233324890278</v>
      </c>
      <c r="AR301" s="50">
        <f t="shared" si="298"/>
        <v>-0.10948290550457483</v>
      </c>
      <c r="AS301" s="59" t="str">
        <f t="shared" si="299"/>
        <v>-0.135644857111107-3.41601761223993i</v>
      </c>
      <c r="AT301" s="50">
        <f t="shared" si="300"/>
        <v>10.677244425362213</v>
      </c>
      <c r="AU301" s="61">
        <f t="shared" si="301"/>
        <v>-92.273933499017602</v>
      </c>
      <c r="AV301" s="32" t="str">
        <f t="shared" si="276"/>
        <v>-0.0000333333333333333</v>
      </c>
      <c r="AW301" s="32" t="str">
        <f t="shared" si="277"/>
        <v>0.00203901821636024i</v>
      </c>
      <c r="AX301" s="32">
        <f t="shared" si="302"/>
        <v>2.0390182163602401E-3</v>
      </c>
      <c r="AY301" s="32">
        <f t="shared" si="303"/>
        <v>1.5707963267948966</v>
      </c>
      <c r="AZ301" s="32" t="str">
        <f t="shared" si="278"/>
        <v>1+0.831891112577528i</v>
      </c>
      <c r="BA301" s="32">
        <f t="shared" si="304"/>
        <v>1.3007854639353398</v>
      </c>
      <c r="BB301" s="32">
        <f t="shared" si="305"/>
        <v>0.69388652558972774</v>
      </c>
      <c r="BC301" s="32" t="str">
        <f t="shared" si="279"/>
        <v>1+39.9307734037214i</v>
      </c>
      <c r="BD301" s="32">
        <f t="shared" si="306"/>
        <v>39.943293111852263</v>
      </c>
      <c r="BE301" s="32">
        <f t="shared" si="307"/>
        <v>1.5457582186619914</v>
      </c>
      <c r="BF301" s="59" t="str">
        <f t="shared" si="308"/>
        <v>-0.377755357005333+0.330599061120291i</v>
      </c>
      <c r="BG301" s="50">
        <f t="shared" si="309"/>
        <v>-5.9860833656440615</v>
      </c>
      <c r="BH301" s="61">
        <f t="shared" si="310"/>
        <v>138.8086526997046</v>
      </c>
      <c r="BI301" s="59" t="str">
        <f t="shared" si="311"/>
        <v>0.245903620057485+0.168323271028582i</v>
      </c>
      <c r="BJ301" s="64">
        <f t="shared" si="312"/>
        <v>-10.515806082407259</v>
      </c>
      <c r="BK301" s="61">
        <f t="shared" si="313"/>
        <v>34.391996090132984</v>
      </c>
      <c r="BL301" s="59" t="str">
        <f t="shared" si="265"/>
        <v>1.18057278680084+1.24557489024147i</v>
      </c>
      <c r="BM301" s="64">
        <f t="shared" si="314"/>
        <v>4.6911610597181364</v>
      </c>
      <c r="BN301" s="61">
        <f t="shared" si="266"/>
        <v>46.534719200687015</v>
      </c>
      <c r="BO301" s="50">
        <f t="shared" si="315"/>
        <v>-10.515806082407259</v>
      </c>
      <c r="BP301" s="61">
        <f t="shared" si="316"/>
        <v>34.391996090132984</v>
      </c>
    </row>
    <row r="302" spans="14:68" x14ac:dyDescent="0.25">
      <c r="N302" s="11">
        <v>84</v>
      </c>
      <c r="O302" s="51">
        <f t="shared" si="317"/>
        <v>6918.3097091893687</v>
      </c>
      <c r="P302" s="49" t="str">
        <f t="shared" si="267"/>
        <v>37.1583961085025</v>
      </c>
      <c r="Q302" s="18" t="str">
        <f t="shared" si="268"/>
        <v>1+34.0714504992184i</v>
      </c>
      <c r="R302" s="18">
        <f t="shared" si="280"/>
        <v>34.086122383173624</v>
      </c>
      <c r="S302" s="18">
        <f t="shared" si="281"/>
        <v>1.5414546641665794</v>
      </c>
      <c r="T302" s="18" t="str">
        <f t="shared" si="269"/>
        <v>1+0.0391221197237669i</v>
      </c>
      <c r="U302" s="18">
        <f t="shared" si="282"/>
        <v>1.0007649775305292</v>
      </c>
      <c r="V302" s="18">
        <f t="shared" si="283"/>
        <v>3.9102178706561158E-2</v>
      </c>
      <c r="W302" s="32" t="str">
        <f t="shared" si="270"/>
        <v>1-0.342431748160863i</v>
      </c>
      <c r="X302" s="18">
        <f t="shared" si="284"/>
        <v>1.0570049678920648</v>
      </c>
      <c r="Y302" s="18">
        <f t="shared" si="285"/>
        <v>-0.32991665614730198</v>
      </c>
      <c r="Z302" s="32" t="str">
        <f t="shared" si="271"/>
        <v>0.998803424769193+0.0824462448993456i</v>
      </c>
      <c r="AA302" s="18">
        <f t="shared" si="286"/>
        <v>1.0022004114091512</v>
      </c>
      <c r="AB302" s="18">
        <f t="shared" si="287"/>
        <v>8.2358300527522202E-2</v>
      </c>
      <c r="AC302" s="32" t="str">
        <f>IMDIV(IMSUM(COMPLEX(0,2*PI()*O302*Constants!$B$61*Constants!$B$62),COMPLEX(1,0)),IMSUM(COMPLEX(0,2*PI()*O302*Constants!$B$61*Constants!$B$62),COMPLEX(2,0)))</f>
        <v>0.50375076263042+0.0431429379493349i</v>
      </c>
      <c r="AD302" s="18">
        <f t="shared" si="288"/>
        <v>0.50559484169207058</v>
      </c>
      <c r="AE302" s="18">
        <f t="shared" si="289"/>
        <v>8.5434944014332284E-2</v>
      </c>
      <c r="AF302" s="66" t="str">
        <f t="shared" si="290"/>
        <v>-0.148654803487454-0.562436708997986i</v>
      </c>
      <c r="AG302" s="64">
        <f t="shared" si="291"/>
        <v>-4.7052690845095153</v>
      </c>
      <c r="AH302" s="61">
        <f t="shared" si="292"/>
        <v>-104.80501005929703</v>
      </c>
      <c r="AI302" s="50" t="str">
        <f t="shared" si="272"/>
        <v>107.538871525172</v>
      </c>
      <c r="AJ302" s="50" t="str">
        <f t="shared" si="273"/>
        <v>1+32.3900666544175i</v>
      </c>
      <c r="AK302" s="50">
        <f t="shared" si="293"/>
        <v>32.405499809100441</v>
      </c>
      <c r="AL302" s="50">
        <f t="shared" si="294"/>
        <v>1.5399324676813446</v>
      </c>
      <c r="AM302" s="50" t="str">
        <f t="shared" si="274"/>
        <v>1+0.0391221197237669i</v>
      </c>
      <c r="AN302" s="50">
        <f t="shared" si="295"/>
        <v>1.0007649775305292</v>
      </c>
      <c r="AO302" s="50">
        <f t="shared" si="296"/>
        <v>3.9102178706561158E-2</v>
      </c>
      <c r="AP302" s="50" t="str">
        <f t="shared" si="275"/>
        <v>1-0.112482875098849i</v>
      </c>
      <c r="AQ302" s="50">
        <f t="shared" si="297"/>
        <v>1.0063063137983896</v>
      </c>
      <c r="AR302" s="50">
        <f t="shared" si="298"/>
        <v>-0.11201205152090128</v>
      </c>
      <c r="AS302" s="59" t="str">
        <f t="shared" si="299"/>
        <v>-0.140477220011821-3.33906632766038i</v>
      </c>
      <c r="AT302" s="50">
        <f t="shared" si="300"/>
        <v>10.480180933742291</v>
      </c>
      <c r="AU302" s="61">
        <f t="shared" si="301"/>
        <v>-92.409059130404401</v>
      </c>
      <c r="AV302" s="32" t="str">
        <f t="shared" si="276"/>
        <v>-0.0000333333333333333</v>
      </c>
      <c r="AW302" s="32" t="str">
        <f t="shared" si="277"/>
        <v>0.00208651305193423i</v>
      </c>
      <c r="AX302" s="32">
        <f t="shared" si="302"/>
        <v>2.0865130519342298E-3</v>
      </c>
      <c r="AY302" s="32">
        <f t="shared" si="303"/>
        <v>1.5707963267948966</v>
      </c>
      <c r="AZ302" s="32" t="str">
        <f t="shared" si="278"/>
        <v>1+0.851268345841224i</v>
      </c>
      <c r="BA302" s="32">
        <f t="shared" si="304"/>
        <v>1.3132622725987577</v>
      </c>
      <c r="BB302" s="32">
        <f t="shared" si="305"/>
        <v>0.70522994364142844</v>
      </c>
      <c r="BC302" s="32" t="str">
        <f t="shared" si="279"/>
        <v>1+40.8608806003788i</v>
      </c>
      <c r="BD302" s="32">
        <f t="shared" si="306"/>
        <v>40.873115411458578</v>
      </c>
      <c r="BE302" s="32">
        <f t="shared" si="307"/>
        <v>1.5463279254831885</v>
      </c>
      <c r="BF302" s="59" t="str">
        <f t="shared" si="308"/>
        <v>-0.370611632052016+0.331465567942535i</v>
      </c>
      <c r="BG302" s="50">
        <f t="shared" si="309"/>
        <v>-6.069121738388934</v>
      </c>
      <c r="BH302" s="61">
        <f t="shared" si="310"/>
        <v>138.19136451650405</v>
      </c>
      <c r="BI302" s="59" t="str">
        <f t="shared" si="311"/>
        <v>0.241521602512605+0.159171637782354i</v>
      </c>
      <c r="BJ302" s="64">
        <f t="shared" si="312"/>
        <v>-10.774390822898436</v>
      </c>
      <c r="BK302" s="61">
        <f t="shared" si="313"/>
        <v>33.386354457207055</v>
      </c>
      <c r="BL302" s="59" t="str">
        <f t="shared" si="265"/>
        <v>1.15884800847045+1.19093345970994i</v>
      </c>
      <c r="BM302" s="64">
        <f t="shared" si="314"/>
        <v>4.4110591953533493</v>
      </c>
      <c r="BN302" s="61">
        <f t="shared" si="266"/>
        <v>45.78230538609975</v>
      </c>
      <c r="BO302" s="50">
        <f t="shared" si="315"/>
        <v>-10.774390822898436</v>
      </c>
      <c r="BP302" s="61">
        <f t="shared" si="316"/>
        <v>33.386354457207055</v>
      </c>
    </row>
    <row r="303" spans="14:68" x14ac:dyDescent="0.25">
      <c r="N303" s="11">
        <v>85</v>
      </c>
      <c r="O303" s="51">
        <f t="shared" si="317"/>
        <v>7079.4578438413828</v>
      </c>
      <c r="P303" s="49" t="str">
        <f t="shared" si="267"/>
        <v>37.1583961085025</v>
      </c>
      <c r="Q303" s="18" t="str">
        <f t="shared" si="268"/>
        <v>1+34.8650765326908i</v>
      </c>
      <c r="R303" s="18">
        <f t="shared" si="280"/>
        <v>34.879414582678798</v>
      </c>
      <c r="S303" s="18">
        <f t="shared" si="281"/>
        <v>1.542122191651</v>
      </c>
      <c r="T303" s="18" t="str">
        <f t="shared" si="269"/>
        <v>1+0.0400333909564993i</v>
      </c>
      <c r="U303" s="18">
        <f t="shared" si="282"/>
        <v>1.0008010153829161</v>
      </c>
      <c r="V303" s="18">
        <f t="shared" si="283"/>
        <v>4.0012024695135082E-2</v>
      </c>
      <c r="W303" s="32" t="str">
        <f t="shared" si="270"/>
        <v>1-0.350408008227459i</v>
      </c>
      <c r="X303" s="18">
        <f t="shared" si="284"/>
        <v>1.0596158606919468</v>
      </c>
      <c r="Y303" s="18">
        <f t="shared" si="285"/>
        <v>-0.33703825485208488</v>
      </c>
      <c r="Z303" s="32" t="str">
        <f t="shared" si="271"/>
        <v>0.998747031915932+0.0843666646453632i</v>
      </c>
      <c r="AA303" s="18">
        <f t="shared" si="286"/>
        <v>1.0023040296558059</v>
      </c>
      <c r="AB303" s="18">
        <f t="shared" si="287"/>
        <v>8.4272441062416811E-2</v>
      </c>
      <c r="AC303" s="32" t="str">
        <f>IMDIV(IMSUM(COMPLEX(0,2*PI()*O303*Constants!$B$61*Constants!$B$62),COMPLEX(1,0)),IMSUM(COMPLEX(0,2*PI()*O303*Constants!$B$61*Constants!$B$62),COMPLEX(2,0)))</f>
        <v>0.503926142594551+0.0441322637262467i</v>
      </c>
      <c r="AD303" s="18">
        <f t="shared" si="288"/>
        <v>0.50585493364385281</v>
      </c>
      <c r="AE303" s="18">
        <f t="shared" si="289"/>
        <v>8.7353977593038465E-2</v>
      </c>
      <c r="AF303" s="66" t="str">
        <f t="shared" si="290"/>
        <v>-0.149483784831085-0.550234110702365i</v>
      </c>
      <c r="AG303" s="64">
        <f t="shared" si="291"/>
        <v>-4.8797905159400754</v>
      </c>
      <c r="AH303" s="61">
        <f t="shared" si="292"/>
        <v>-105.19888343012157</v>
      </c>
      <c r="AI303" s="50" t="str">
        <f t="shared" si="272"/>
        <v>107.538871525172</v>
      </c>
      <c r="AJ303" s="50" t="str">
        <f t="shared" si="273"/>
        <v>1+33.1445282269719i</v>
      </c>
      <c r="AK303" s="50">
        <f t="shared" si="293"/>
        <v>33.159610241806782</v>
      </c>
      <c r="AL303" s="50">
        <f t="shared" si="294"/>
        <v>1.5406345839218802</v>
      </c>
      <c r="AM303" s="50" t="str">
        <f t="shared" si="274"/>
        <v>1+0.0400333909564993i</v>
      </c>
      <c r="AN303" s="50">
        <f t="shared" si="295"/>
        <v>1.0008010153829161</v>
      </c>
      <c r="AO303" s="50">
        <f t="shared" si="296"/>
        <v>4.0012024695135082E-2</v>
      </c>
      <c r="AP303" s="50" t="str">
        <f t="shared" si="275"/>
        <v>1-0.115102937840243i</v>
      </c>
      <c r="AQ303" s="50">
        <f t="shared" si="297"/>
        <v>1.0066025463406372</v>
      </c>
      <c r="AR303" s="50">
        <f t="shared" si="298"/>
        <v>-0.11459861983635901</v>
      </c>
      <c r="AS303" s="59" t="str">
        <f t="shared" si="299"/>
        <v>-0.145092495675573-3.26387203934297i</v>
      </c>
      <c r="AT303" s="50">
        <f t="shared" si="300"/>
        <v>10.283236392036732</v>
      </c>
      <c r="AU303" s="61">
        <f t="shared" si="301"/>
        <v>-92.54535654046046</v>
      </c>
      <c r="AV303" s="32" t="str">
        <f t="shared" si="276"/>
        <v>-0.0000333333333333333</v>
      </c>
      <c r="AW303" s="32" t="str">
        <f t="shared" si="277"/>
        <v>0.00213511418434663i</v>
      </c>
      <c r="AX303" s="32">
        <f t="shared" si="302"/>
        <v>2.13511418434663E-3</v>
      </c>
      <c r="AY303" s="32">
        <f t="shared" si="303"/>
        <v>1.5707963267948966</v>
      </c>
      <c r="AZ303" s="32" t="str">
        <f t="shared" si="278"/>
        <v>1+0.871096932849753i</v>
      </c>
      <c r="BA303" s="32">
        <f t="shared" si="304"/>
        <v>1.3262012918181942</v>
      </c>
      <c r="BB303" s="32">
        <f t="shared" si="305"/>
        <v>0.71661513239530195</v>
      </c>
      <c r="BC303" s="32" t="str">
        <f t="shared" si="279"/>
        <v>1+41.8126527767882i</v>
      </c>
      <c r="BD303" s="32">
        <f t="shared" si="306"/>
        <v>41.824609170107664</v>
      </c>
      <c r="BE303" s="32">
        <f t="shared" si="307"/>
        <v>1.5468846795451019</v>
      </c>
      <c r="BF303" s="59" t="str">
        <f t="shared" si="308"/>
        <v>-0.363415200781013+0.332181834288095i</v>
      </c>
      <c r="BG303" s="50">
        <f t="shared" si="309"/>
        <v>-6.1543983134834335</v>
      </c>
      <c r="BH303" s="61">
        <f t="shared" si="310"/>
        <v>137.57094090992169</v>
      </c>
      <c r="BI303" s="59" t="str">
        <f t="shared" si="311"/>
        <v>0.237102455858885+0.150307641975945i</v>
      </c>
      <c r="BJ303" s="64">
        <f t="shared" si="312"/>
        <v>-11.034188829423513</v>
      </c>
      <c r="BK303" s="61">
        <f t="shared" si="313"/>
        <v>32.372057479800006</v>
      </c>
      <c r="BL303" s="59" t="str">
        <f t="shared" si="265"/>
        <v>1.13692781935833+1.13794362114641i</v>
      </c>
      <c r="BM303" s="64">
        <f t="shared" si="314"/>
        <v>4.1288380785532972</v>
      </c>
      <c r="BN303" s="61">
        <f t="shared" si="266"/>
        <v>45.025584369461185</v>
      </c>
      <c r="BO303" s="50">
        <f t="shared" si="315"/>
        <v>-11.034188829423513</v>
      </c>
      <c r="BP303" s="61">
        <f t="shared" si="316"/>
        <v>32.372057479800006</v>
      </c>
    </row>
    <row r="304" spans="14:68" x14ac:dyDescent="0.25">
      <c r="N304" s="11">
        <v>86</v>
      </c>
      <c r="O304" s="51">
        <f t="shared" si="317"/>
        <v>7244.3596007499036</v>
      </c>
      <c r="P304" s="49" t="str">
        <f t="shared" si="267"/>
        <v>37.1583961085025</v>
      </c>
      <c r="Q304" s="18" t="str">
        <f t="shared" si="268"/>
        <v>1+35.6771884912347i</v>
      </c>
      <c r="R304" s="18">
        <f t="shared" si="280"/>
        <v>35.691200296979225</v>
      </c>
      <c r="S304" s="18">
        <f t="shared" si="281"/>
        <v>1.5427745490549329</v>
      </c>
      <c r="T304" s="18" t="str">
        <f t="shared" si="269"/>
        <v>1+0.0409658884230215i</v>
      </c>
      <c r="U304" s="18">
        <f t="shared" si="282"/>
        <v>1.0008387502561478</v>
      </c>
      <c r="V304" s="18">
        <f t="shared" si="283"/>
        <v>4.0942995097606315E-2</v>
      </c>
      <c r="W304" s="32" t="str">
        <f t="shared" si="270"/>
        <v>1-0.358570059258216i</v>
      </c>
      <c r="X304" s="18">
        <f t="shared" si="284"/>
        <v>1.0623429236345674</v>
      </c>
      <c r="Y304" s="18">
        <f t="shared" si="285"/>
        <v>-0.3442891217261147</v>
      </c>
      <c r="Z304" s="32" t="str">
        <f t="shared" si="271"/>
        <v>0.998687981349376+0.0863318167137007i</v>
      </c>
      <c r="AA304" s="18">
        <f t="shared" si="286"/>
        <v>1.0024125232002938</v>
      </c>
      <c r="AB304" s="18">
        <f t="shared" si="287"/>
        <v>8.6230866113864907E-2</v>
      </c>
      <c r="AC304" s="32" t="str">
        <f>IMDIV(IMSUM(COMPLEX(0,2*PI()*O304*Constants!$B$61*Constants!$B$62),COMPLEX(1,0)),IMSUM(COMPLEX(0,2*PI()*O304*Constants!$B$61*Constants!$B$62),COMPLEX(2,0)))</f>
        <v>0.504109655147545+0.045143530082843i</v>
      </c>
      <c r="AD304" s="18">
        <f t="shared" si="288"/>
        <v>0.50612694328727192</v>
      </c>
      <c r="AE304" s="18">
        <f t="shared" si="289"/>
        <v>8.931277654836299E-2</v>
      </c>
      <c r="AF304" s="66" t="str">
        <f t="shared" si="290"/>
        <v>-0.150284932293288-0.538320258583912i</v>
      </c>
      <c r="AG304" s="64">
        <f t="shared" si="291"/>
        <v>-5.0532475735708315</v>
      </c>
      <c r="AH304" s="61">
        <f t="shared" si="292"/>
        <v>-105.59834272776689</v>
      </c>
      <c r="AI304" s="50" t="str">
        <f t="shared" si="272"/>
        <v>107.538871525172</v>
      </c>
      <c r="AJ304" s="50" t="str">
        <f t="shared" si="273"/>
        <v>1+33.916563467112i</v>
      </c>
      <c r="AK304" s="50">
        <f t="shared" si="293"/>
        <v>33.931302324235013</v>
      </c>
      <c r="AL304" s="50">
        <f t="shared" si="294"/>
        <v>1.5413207467904013</v>
      </c>
      <c r="AM304" s="50" t="str">
        <f t="shared" si="274"/>
        <v>1+0.0409658884230215i</v>
      </c>
      <c r="AN304" s="50">
        <f t="shared" si="295"/>
        <v>1.0008387502561478</v>
      </c>
      <c r="AO304" s="50">
        <f t="shared" si="296"/>
        <v>4.0942995097606315E-2</v>
      </c>
      <c r="AP304" s="50" t="str">
        <f t="shared" si="275"/>
        <v>1-0.117784029682848i</v>
      </c>
      <c r="AQ304" s="50">
        <f t="shared" si="297"/>
        <v>1.0069126464834623</v>
      </c>
      <c r="AR304" s="50">
        <f t="shared" si="298"/>
        <v>-0.11724384336872734</v>
      </c>
      <c r="AS304" s="59" t="str">
        <f t="shared" si="299"/>
        <v>-0.149500419056409-3.19039577245646i</v>
      </c>
      <c r="AT304" s="50">
        <f t="shared" si="300"/>
        <v>10.086417070711819</v>
      </c>
      <c r="AU304" s="61">
        <f t="shared" si="301"/>
        <v>-92.68289024624552</v>
      </c>
      <c r="AV304" s="32" t="str">
        <f t="shared" si="276"/>
        <v>-0.0000333333333333333</v>
      </c>
      <c r="AW304" s="32" t="str">
        <f t="shared" si="277"/>
        <v>0.00218484738256114i</v>
      </c>
      <c r="AX304" s="32">
        <f t="shared" si="302"/>
        <v>2.1848473825611401E-3</v>
      </c>
      <c r="AY304" s="32">
        <f t="shared" si="303"/>
        <v>1.5707963267948966</v>
      </c>
      <c r="AZ304" s="32" t="str">
        <f t="shared" si="278"/>
        <v>1+0.891387386982413i</v>
      </c>
      <c r="BA304" s="32">
        <f t="shared" si="304"/>
        <v>1.3396161665459752</v>
      </c>
      <c r="BB304" s="32">
        <f t="shared" si="305"/>
        <v>0.72803632308447097</v>
      </c>
      <c r="BC304" s="32" t="str">
        <f t="shared" si="279"/>
        <v>1+42.7865945751559i</v>
      </c>
      <c r="BD304" s="32">
        <f t="shared" si="306"/>
        <v>42.798278882903226</v>
      </c>
      <c r="BE304" s="32">
        <f t="shared" si="307"/>
        <v>1.5474287746646744</v>
      </c>
      <c r="BF304" s="59" t="str">
        <f t="shared" si="308"/>
        <v>-0.356173186812733+0.332744882075495i</v>
      </c>
      <c r="BG304" s="50">
        <f t="shared" si="309"/>
        <v>-6.2419287213301944</v>
      </c>
      <c r="BH304" s="61">
        <f t="shared" si="310"/>
        <v>136.94772924042323</v>
      </c>
      <c r="BI304" s="59" t="str">
        <f t="shared" si="311"/>
        <v>0.23265077422619+0.141728699952033i</v>
      </c>
      <c r="BJ304" s="64">
        <f t="shared" si="312"/>
        <v>-11.295176294901019</v>
      </c>
      <c r="BK304" s="61">
        <f t="shared" si="313"/>
        <v>31.349386512656409</v>
      </c>
      <c r="BL304" s="59" t="str">
        <f t="shared" si="265"/>
        <v>1.11483590576534+1.08658793016053i</v>
      </c>
      <c r="BM304" s="64">
        <f t="shared" si="314"/>
        <v>3.8444883493816273</v>
      </c>
      <c r="BN304" s="61">
        <f t="shared" si="266"/>
        <v>44.264838994177865</v>
      </c>
      <c r="BO304" s="50">
        <f t="shared" si="315"/>
        <v>-11.295176294901019</v>
      </c>
      <c r="BP304" s="61">
        <f t="shared" si="316"/>
        <v>31.349386512656409</v>
      </c>
    </row>
    <row r="305" spans="14:68" x14ac:dyDescent="0.25">
      <c r="N305" s="11">
        <v>87</v>
      </c>
      <c r="O305" s="51">
        <f t="shared" si="317"/>
        <v>7413.1024130091773</v>
      </c>
      <c r="P305" s="49" t="str">
        <f t="shared" si="267"/>
        <v>37.1583961085025</v>
      </c>
      <c r="Q305" s="18" t="str">
        <f t="shared" si="268"/>
        <v>1+36.50821696736i</v>
      </c>
      <c r="R305" s="18">
        <f t="shared" si="280"/>
        <v>36.52190994643945</v>
      </c>
      <c r="S305" s="18">
        <f t="shared" si="281"/>
        <v>1.5434120800446467</v>
      </c>
      <c r="T305" s="18" t="str">
        <f t="shared" si="269"/>
        <v>1+0.0419201065458332i</v>
      </c>
      <c r="U305" s="18">
        <f t="shared" si="282"/>
        <v>1.0008782619943417</v>
      </c>
      <c r="V305" s="18">
        <f t="shared" si="283"/>
        <v>4.189557706810431E-2</v>
      </c>
      <c r="W305" s="32" t="str">
        <f t="shared" si="270"/>
        <v>1-0.366922228880627i</v>
      </c>
      <c r="X305" s="18">
        <f t="shared" si="284"/>
        <v>1.0651910260825177</v>
      </c>
      <c r="Y305" s="18">
        <f t="shared" si="285"/>
        <v>-0.3516700506064302</v>
      </c>
      <c r="Z305" s="32" t="str">
        <f t="shared" si="271"/>
        <v>0.998626147815356+0.0883427430539964i</v>
      </c>
      <c r="AA305" s="18">
        <f t="shared" si="286"/>
        <v>1.0025261210316876</v>
      </c>
      <c r="AB305" s="18">
        <f t="shared" si="287"/>
        <v>8.8234585760244913E-2</v>
      </c>
      <c r="AC305" s="32" t="str">
        <f>IMDIV(IMSUM(COMPLEX(0,2*PI()*O305*Constants!$B$61*Constants!$B$62),COMPLEX(1,0)),IMSUM(COMPLEX(0,2*PI()*O305*Constants!$B$61*Constants!$B$62),COMPLEX(2,0)))</f>
        <v>0.504301670914497+0.0461771705996794i</v>
      </c>
      <c r="AD305" s="18">
        <f t="shared" si="288"/>
        <v>0.50641140031771159</v>
      </c>
      <c r="AE305" s="18">
        <f t="shared" si="289"/>
        <v>9.1311931192209983E-2</v>
      </c>
      <c r="AF305" s="66" t="str">
        <f t="shared" si="290"/>
        <v>-0.151059921477063-0.526688881874411i</v>
      </c>
      <c r="AG305" s="64">
        <f t="shared" si="291"/>
        <v>-5.2255997698780101</v>
      </c>
      <c r="AH305" s="61">
        <f t="shared" si="292"/>
        <v>-106.00344926534343</v>
      </c>
      <c r="AI305" s="50" t="str">
        <f t="shared" si="272"/>
        <v>107.538871525172</v>
      </c>
      <c r="AJ305" s="50" t="str">
        <f t="shared" si="273"/>
        <v>1+34.7065817181412i</v>
      </c>
      <c r="AK305" s="50">
        <f t="shared" si="293"/>
        <v>34.720985218711938</v>
      </c>
      <c r="AL305" s="50">
        <f t="shared" si="294"/>
        <v>1.541991317513594</v>
      </c>
      <c r="AM305" s="50" t="str">
        <f t="shared" si="274"/>
        <v>1+0.0419201065458332i</v>
      </c>
      <c r="AN305" s="50">
        <f t="shared" si="295"/>
        <v>1.0008782619943417</v>
      </c>
      <c r="AO305" s="50">
        <f t="shared" si="296"/>
        <v>4.189557706810431E-2</v>
      </c>
      <c r="AP305" s="50" t="str">
        <f t="shared" si="275"/>
        <v>1-0.120527572177047i</v>
      </c>
      <c r="AQ305" s="50">
        <f t="shared" si="297"/>
        <v>1.0072372588694747</v>
      </c>
      <c r="AR305" s="50">
        <f t="shared" si="298"/>
        <v>-0.11994897649722876</v>
      </c>
      <c r="AS305" s="59" t="str">
        <f t="shared" si="299"/>
        <v>-0.153710290087886-3.11859940358006i</v>
      </c>
      <c r="AT305" s="50">
        <f t="shared" si="300"/>
        <v>9.8897294860949803</v>
      </c>
      <c r="AU305" s="61">
        <f t="shared" si="301"/>
        <v>-92.821724903283837</v>
      </c>
      <c r="AV305" s="32" t="str">
        <f t="shared" si="276"/>
        <v>-0.0000333333333333333</v>
      </c>
      <c r="AW305" s="32" t="str">
        <f t="shared" si="277"/>
        <v>0.00223573901577777i</v>
      </c>
      <c r="AX305" s="32">
        <f t="shared" si="302"/>
        <v>2.2357390157777702E-3</v>
      </c>
      <c r="AY305" s="32">
        <f t="shared" si="303"/>
        <v>1.5707963267948966</v>
      </c>
      <c r="AZ305" s="32" t="str">
        <f t="shared" si="278"/>
        <v>1+0.912150466506555i</v>
      </c>
      <c r="BA305" s="32">
        <f t="shared" si="304"/>
        <v>1.3535207695296463</v>
      </c>
      <c r="BB305" s="32">
        <f t="shared" si="305"/>
        <v>0.7394876537335231</v>
      </c>
      <c r="BC305" s="32" t="str">
        <f t="shared" si="279"/>
        <v>1+43.7832223923147i</v>
      </c>
      <c r="BD305" s="32">
        <f t="shared" si="306"/>
        <v>43.794640802898336</v>
      </c>
      <c r="BE305" s="32">
        <f t="shared" si="307"/>
        <v>1.5479604980390127</v>
      </c>
      <c r="BF305" s="59" t="str">
        <f t="shared" si="308"/>
        <v>-0.348892901447016+0.333152136066552i</v>
      </c>
      <c r="BG305" s="50">
        <f t="shared" si="309"/>
        <v>-6.3317263221219102</v>
      </c>
      <c r="BH305" s="61">
        <f t="shared" si="310"/>
        <v>136.3220818296418</v>
      </c>
      <c r="BI305" s="59" t="str">
        <f t="shared" si="311"/>
        <v>0.228171260335455+0.133432076642919i</v>
      </c>
      <c r="BJ305" s="64">
        <f t="shared" si="312"/>
        <v>-11.557326091999911</v>
      </c>
      <c r="BK305" s="61">
        <f t="shared" si="313"/>
        <v>30.318632564298376</v>
      </c>
      <c r="BL305" s="59" t="str">
        <f t="shared" si="265"/>
        <v>1.0925964819296+1.03684828288779i</v>
      </c>
      <c r="BM305" s="64">
        <f t="shared" si="314"/>
        <v>3.5580031639730736</v>
      </c>
      <c r="BN305" s="61">
        <f t="shared" si="266"/>
        <v>43.500356926357817</v>
      </c>
      <c r="BO305" s="50">
        <f t="shared" si="315"/>
        <v>-11.557326091999911</v>
      </c>
      <c r="BP305" s="61">
        <f t="shared" si="316"/>
        <v>30.318632564298376</v>
      </c>
    </row>
    <row r="306" spans="14:68" x14ac:dyDescent="0.25">
      <c r="N306" s="11">
        <v>88</v>
      </c>
      <c r="O306" s="51">
        <f t="shared" si="317"/>
        <v>7585.7757502918394</v>
      </c>
      <c r="P306" s="49" t="str">
        <f t="shared" si="267"/>
        <v>37.1583961085025</v>
      </c>
      <c r="Q306" s="18" t="str">
        <f t="shared" si="268"/>
        <v>1+37.3586025833648i</v>
      </c>
      <c r="R306" s="18">
        <f t="shared" si="280"/>
        <v>37.371983985089571</v>
      </c>
      <c r="S306" s="18">
        <f t="shared" si="281"/>
        <v>1.54403512057335</v>
      </c>
      <c r="T306" s="18" t="str">
        <f t="shared" si="269"/>
        <v>1+0.0428965512640136i</v>
      </c>
      <c r="U306" s="18">
        <f t="shared" si="282"/>
        <v>1.0009196341916498</v>
      </c>
      <c r="V306" s="18">
        <f t="shared" si="283"/>
        <v>4.2870268759179715E-2</v>
      </c>
      <c r="W306" s="32" t="str">
        <f t="shared" si="270"/>
        <v>1-0.375468945525581i</v>
      </c>
      <c r="X306" s="18">
        <f t="shared" si="284"/>
        <v>1.0681652161787012</v>
      </c>
      <c r="Y306" s="18">
        <f t="shared" si="285"/>
        <v>-0.359181737195433</v>
      </c>
      <c r="Z306" s="32" t="str">
        <f t="shared" si="271"/>
        <v>0.998561400156657+0.0904005098860138i</v>
      </c>
      <c r="AA306" s="18">
        <f t="shared" si="286"/>
        <v>1.00264506285648</v>
      </c>
      <c r="AB306" s="18">
        <f t="shared" si="287"/>
        <v>9.0284632089524017E-2</v>
      </c>
      <c r="AC306" s="32" t="str">
        <f>IMDIV(IMSUM(COMPLEX(0,2*PI()*O306*Constants!$B$61*Constants!$B$62),COMPLEX(1,0)),IMSUM(COMPLEX(0,2*PI()*O306*Constants!$B$61*Constants!$B$62),COMPLEX(2,0)))</f>
        <v>0.504502576790557+0.0472336235908679i</v>
      </c>
      <c r="AD306" s="18">
        <f t="shared" si="288"/>
        <v>0.50670885643122088</v>
      </c>
      <c r="AE306" s="18">
        <f t="shared" si="289"/>
        <v>9.3352023545619431E-2</v>
      </c>
      <c r="AF306" s="66" t="str">
        <f t="shared" si="290"/>
        <v>-0.151810371548277-0.515333845854108i</v>
      </c>
      <c r="AG306" s="64">
        <f t="shared" si="291"/>
        <v>-5.3968055724366835</v>
      </c>
      <c r="AH306" s="61">
        <f t="shared" si="292"/>
        <v>-106.4142593972603</v>
      </c>
      <c r="AI306" s="50" t="str">
        <f t="shared" si="272"/>
        <v>107.538871525172</v>
      </c>
      <c r="AJ306" s="50" t="str">
        <f t="shared" si="273"/>
        <v>1+35.5150018581932i</v>
      </c>
      <c r="AK306" s="50">
        <f t="shared" si="293"/>
        <v>35.529077626466282</v>
      </c>
      <c r="AL306" s="50">
        <f t="shared" si="294"/>
        <v>1.5426466492232929</v>
      </c>
      <c r="AM306" s="50" t="str">
        <f t="shared" si="274"/>
        <v>1+0.0428965512640136i</v>
      </c>
      <c r="AN306" s="50">
        <f t="shared" si="295"/>
        <v>1.0009196341916498</v>
      </c>
      <c r="AO306" s="50">
        <f t="shared" si="296"/>
        <v>4.2870268759179715E-2</v>
      </c>
      <c r="AP306" s="50" t="str">
        <f t="shared" si="275"/>
        <v>1-0.123335019985385i</v>
      </c>
      <c r="AQ306" s="50">
        <f t="shared" si="297"/>
        <v>1.0075770576758858</v>
      </c>
      <c r="AR306" s="50">
        <f t="shared" si="298"/>
        <v>-0.12271529507027261</v>
      </c>
      <c r="AS306" s="59" t="str">
        <f t="shared" si="299"/>
        <v>-0.157730992988087-3.04844564444258i</v>
      </c>
      <c r="AT306" s="50">
        <f t="shared" si="300"/>
        <v>9.693180412326118</v>
      </c>
      <c r="AU306" s="61">
        <f t="shared" si="301"/>
        <v>-92.961925303229677</v>
      </c>
      <c r="AV306" s="32" t="str">
        <f t="shared" si="276"/>
        <v>-0.0000333333333333333</v>
      </c>
      <c r="AW306" s="32" t="str">
        <f t="shared" si="277"/>
        <v>0.00228781606741406i</v>
      </c>
      <c r="AX306" s="32">
        <f t="shared" si="302"/>
        <v>2.2878160674140598E-3</v>
      </c>
      <c r="AY306" s="32">
        <f t="shared" si="303"/>
        <v>1.5707963267948966</v>
      </c>
      <c r="AZ306" s="32" t="str">
        <f t="shared" si="278"/>
        <v>1+0.933397180281779i</v>
      </c>
      <c r="BA306" s="32">
        <f t="shared" si="304"/>
        <v>1.3679291999800194</v>
      </c>
      <c r="BB306" s="32">
        <f t="shared" si="305"/>
        <v>0.75096318378962645</v>
      </c>
      <c r="BC306" s="32" t="str">
        <f t="shared" si="279"/>
        <v>1+44.8030646535254i</v>
      </c>
      <c r="BD306" s="32">
        <f t="shared" si="306"/>
        <v>44.81422321482296</v>
      </c>
      <c r="BE306" s="32">
        <f t="shared" si="307"/>
        <v>1.5484801303915268</v>
      </c>
      <c r="BF306" s="59" t="str">
        <f t="shared" si="308"/>
        <v>-0.341581814944483+0.333401438752313i</v>
      </c>
      <c r="BG306" s="50">
        <f t="shared" si="309"/>
        <v>-6.4238021520678599</v>
      </c>
      <c r="BH306" s="61">
        <f t="shared" si="310"/>
        <v>135.69435513044917</v>
      </c>
      <c r="BI306" s="59" t="str">
        <f t="shared" si="311"/>
        <v>0.223668707886379+0.125414874077448i</v>
      </c>
      <c r="BJ306" s="64">
        <f t="shared" si="312"/>
        <v>-11.820607724504546</v>
      </c>
      <c r="BK306" s="61">
        <f t="shared" si="313"/>
        <v>29.280095733188926</v>
      </c>
      <c r="BL306" s="59" t="str">
        <f t="shared" ref="BL306:BL369" si="318">IMPRODUCT(AS306,BF306)</f>
        <v>1.07023420267324+0.988705855990241i</v>
      </c>
      <c r="BM306" s="64">
        <f t="shared" si="314"/>
        <v>3.2693782602582382</v>
      </c>
      <c r="BN306" s="61">
        <f t="shared" ref="BN306:BN369" si="319">(180/PI())*IMARGUMENT(BL306)</f>
        <v>42.732429827219612</v>
      </c>
      <c r="BO306" s="50">
        <f t="shared" si="315"/>
        <v>-11.820607724504546</v>
      </c>
      <c r="BP306" s="61">
        <f t="shared" si="316"/>
        <v>29.280095733188926</v>
      </c>
    </row>
    <row r="307" spans="14:68" x14ac:dyDescent="0.25">
      <c r="N307" s="11">
        <v>89</v>
      </c>
      <c r="O307" s="51">
        <f t="shared" si="317"/>
        <v>7762.4711662869322</v>
      </c>
      <c r="P307" s="49" t="str">
        <f t="shared" si="267"/>
        <v>37.1583961085025</v>
      </c>
      <c r="Q307" s="18" t="str">
        <f t="shared" si="268"/>
        <v>1+38.228796224959i</v>
      </c>
      <c r="R307" s="18">
        <f t="shared" si="280"/>
        <v>38.241873134163278</v>
      </c>
      <c r="S307" s="18">
        <f t="shared" si="281"/>
        <v>1.544643999049458</v>
      </c>
      <c r="T307" s="18" t="str">
        <f t="shared" si="269"/>
        <v>1+0.0438957403014773i</v>
      </c>
      <c r="U307" s="18">
        <f t="shared" si="282"/>
        <v>1.0009629543677501</v>
      </c>
      <c r="V307" s="18">
        <f t="shared" si="283"/>
        <v>4.386757955320518E-2</v>
      </c>
      <c r="W307" s="32" t="str">
        <f t="shared" si="270"/>
        <v>1-0.384214740775371i</v>
      </c>
      <c r="X307" s="18">
        <f t="shared" si="284"/>
        <v>1.0712707253673488</v>
      </c>
      <c r="Y307" s="18">
        <f t="shared" si="285"/>
        <v>-0.36682477249649353</v>
      </c>
      <c r="Z307" s="32" t="str">
        <f t="shared" si="271"/>
        <v>0.998493601034814+0.092506208264965i</v>
      </c>
      <c r="AA307" s="18">
        <f t="shared" si="286"/>
        <v>1.0027695995965531</v>
      </c>
      <c r="AB307" s="18">
        <f t="shared" si="287"/>
        <v>9.2382059605195771E-2</v>
      </c>
      <c r="AC307" s="32" t="str">
        <f>IMDIV(IMSUM(COMPLEX(0,2*PI()*O307*Constants!$B$61*Constants!$B$62),COMPLEX(1,0)),IMSUM(COMPLEX(0,2*PI()*O307*Constants!$B$61*Constants!$B$62),COMPLEX(2,0)))</f>
        <v>0.504712776595677+0.0483133318515466i</v>
      </c>
      <c r="AD307" s="18">
        <f t="shared" si="288"/>
        <v>0.50701988609276016</v>
      </c>
      <c r="AE307" s="18">
        <f t="shared" si="289"/>
        <v>9.5433625797025523E-2</v>
      </c>
      <c r="AF307" s="66" t="str">
        <f t="shared" si="290"/>
        <v>-0.152537848468337-0.504249148788009i</v>
      </c>
      <c r="AG307" s="64">
        <f t="shared" si="291"/>
        <v>-5.5668224125898069</v>
      </c>
      <c r="AH307" s="61">
        <f t="shared" si="292"/>
        <v>-106.83082425108942</v>
      </c>
      <c r="AI307" s="50" t="str">
        <f t="shared" si="272"/>
        <v>107.538871525172</v>
      </c>
      <c r="AJ307" s="50" t="str">
        <f t="shared" si="273"/>
        <v>1+36.3422525223271i</v>
      </c>
      <c r="AK307" s="50">
        <f t="shared" si="293"/>
        <v>36.356008009634266</v>
      </c>
      <c r="AL307" s="50">
        <f t="shared" si="294"/>
        <v>1.5432870871322482</v>
      </c>
      <c r="AM307" s="50" t="str">
        <f t="shared" si="274"/>
        <v>1+0.0438957403014773i</v>
      </c>
      <c r="AN307" s="50">
        <f t="shared" si="295"/>
        <v>1.0009629543677501</v>
      </c>
      <c r="AO307" s="50">
        <f t="shared" si="296"/>
        <v>4.386757955320518E-2</v>
      </c>
      <c r="AP307" s="50" t="str">
        <f t="shared" si="275"/>
        <v>1-0.126207861653851i</v>
      </c>
      <c r="AQ307" s="50">
        <f t="shared" si="297"/>
        <v>1.0079327479267839</v>
      </c>
      <c r="AR307" s="50">
        <f t="shared" si="298"/>
        <v>-0.12554409638134287</v>
      </c>
      <c r="AS307" s="59" t="str">
        <f t="shared" si="299"/>
        <v>-0.161571014719767-2.97989802584287i</v>
      </c>
      <c r="AT307" s="50">
        <f t="shared" si="300"/>
        <v>9.4967768936852934</v>
      </c>
      <c r="AU307" s="61">
        <f t="shared" si="301"/>
        <v>-93.103556369297891</v>
      </c>
      <c r="AV307" s="32" t="str">
        <f t="shared" si="276"/>
        <v>-0.0000333333333333333</v>
      </c>
      <c r="AW307" s="32" t="str">
        <f t="shared" si="277"/>
        <v>0.00234110614941212i</v>
      </c>
      <c r="AX307" s="32">
        <f t="shared" si="302"/>
        <v>2.3411061494121202E-3</v>
      </c>
      <c r="AY307" s="32">
        <f t="shared" si="303"/>
        <v>1.5707963267948966</v>
      </c>
      <c r="AZ307" s="32" t="str">
        <f t="shared" si="278"/>
        <v>1+0.95513879359696i</v>
      </c>
      <c r="BA307" s="32">
        <f t="shared" si="304"/>
        <v>1.3828557824422096</v>
      </c>
      <c r="BB307" s="32">
        <f t="shared" si="305"/>
        <v>0.762456909249288</v>
      </c>
      <c r="BC307" s="32" t="str">
        <f t="shared" si="279"/>
        <v>1+45.8466620926542i</v>
      </c>
      <c r="BD307" s="32">
        <f t="shared" si="306"/>
        <v>45.857566715189058</v>
      </c>
      <c r="BE307" s="32">
        <f t="shared" si="307"/>
        <v>1.5489879461150449</v>
      </c>
      <c r="BF307" s="59" t="str">
        <f t="shared" si="308"/>
        <v>-0.334247526416473+0.333491062761413i</v>
      </c>
      <c r="BG307" s="50">
        <f t="shared" si="309"/>
        <v>-6.518164878809289</v>
      </c>
      <c r="BH307" s="61">
        <f t="shared" si="310"/>
        <v>135.06490886845631</v>
      </c>
      <c r="BI307" s="59" t="str">
        <f t="shared" si="311"/>
        <v>0.219147983061283+0.117674021482959i</v>
      </c>
      <c r="BJ307" s="64">
        <f t="shared" si="312"/>
        <v>-12.084987291399107</v>
      </c>
      <c r="BK307" s="61">
        <f t="shared" si="313"/>
        <v>28.234084617366953</v>
      </c>
      <c r="BL307" s="59" t="str">
        <f t="shared" si="318"/>
        <v>1.04777407156966+0.942141054700975i</v>
      </c>
      <c r="BM307" s="64">
        <f t="shared" si="314"/>
        <v>2.9786120148760165</v>
      </c>
      <c r="BN307" s="61">
        <f t="shared" si="319"/>
        <v>41.96135249915833</v>
      </c>
      <c r="BO307" s="50">
        <f t="shared" si="315"/>
        <v>-12.084987291399107</v>
      </c>
      <c r="BP307" s="61">
        <f t="shared" si="316"/>
        <v>28.234084617366953</v>
      </c>
    </row>
    <row r="308" spans="14:68" x14ac:dyDescent="0.25">
      <c r="N308" s="11">
        <v>90</v>
      </c>
      <c r="O308" s="51">
        <f t="shared" si="317"/>
        <v>7943.2823472428154</v>
      </c>
      <c r="P308" s="49" t="str">
        <f t="shared" si="267"/>
        <v>37.1583961085025</v>
      </c>
      <c r="Q308" s="18" t="str">
        <f t="shared" si="268"/>
        <v>1+39.1192592803294i</v>
      </c>
      <c r="R308" s="18">
        <f t="shared" si="280"/>
        <v>39.132038621079253</v>
      </c>
      <c r="S308" s="18">
        <f t="shared" si="281"/>
        <v>1.545239036501513</v>
      </c>
      <c r="T308" s="18" t="str">
        <f t="shared" si="269"/>
        <v>1+0.0449182034414775i</v>
      </c>
      <c r="U308" s="18">
        <f t="shared" si="282"/>
        <v>1.0010083141514909</v>
      </c>
      <c r="V308" s="18">
        <f t="shared" si="283"/>
        <v>4.4888030297412368E-2</v>
      </c>
      <c r="W308" s="32" t="str">
        <f t="shared" si="270"/>
        <v>1-0.393164251766403i</v>
      </c>
      <c r="X308" s="18">
        <f t="shared" si="284"/>
        <v>1.0745129728705167</v>
      </c>
      <c r="Y308" s="18">
        <f t="shared" si="285"/>
        <v>-0.37459963613626646</v>
      </c>
      <c r="Z308" s="32" t="str">
        <f t="shared" si="271"/>
        <v>0.9984226066388+0.0946609546600025i</v>
      </c>
      <c r="AA308" s="18">
        <f t="shared" si="286"/>
        <v>1.0028999939099406</v>
      </c>
      <c r="AB308" s="18">
        <f t="shared" si="287"/>
        <v>9.4527945634261992E-2</v>
      </c>
      <c r="AC308" s="32" t="str">
        <f>IMDIV(IMSUM(COMPLEX(0,2*PI()*O308*Constants!$B$61*Constants!$B$62),COMPLEX(1,0)),IMSUM(COMPLEX(0,2*PI()*O308*Constants!$B$61*Constants!$B$62),COMPLEX(2,0)))</f>
        <v>0.504932691749912+0.0494167423760047i</v>
      </c>
      <c r="AD308" s="18">
        <f t="shared" si="288"/>
        <v>0.50734508731717121</v>
      </c>
      <c r="AE308" s="18">
        <f t="shared" si="289"/>
        <v>9.7557298653538543E-2</v>
      </c>
      <c r="AF308" s="66" t="str">
        <f t="shared" si="290"/>
        <v>-0.153243868105298-0.493428918873005i</v>
      </c>
      <c r="AG308" s="64">
        <f t="shared" si="291"/>
        <v>-5.7356066978942515</v>
      </c>
      <c r="AH308" s="61">
        <f t="shared" si="292"/>
        <v>-107.25318945878593</v>
      </c>
      <c r="AI308" s="50" t="str">
        <f t="shared" si="272"/>
        <v>107.538871525172</v>
      </c>
      <c r="AJ308" s="50" t="str">
        <f t="shared" si="273"/>
        <v>1+37.1887723297948i</v>
      </c>
      <c r="AK308" s="50">
        <f t="shared" si="293"/>
        <v>37.202214818439387</v>
      </c>
      <c r="AL308" s="50">
        <f t="shared" si="294"/>
        <v>1.5439129687064537</v>
      </c>
      <c r="AM308" s="50" t="str">
        <f t="shared" si="274"/>
        <v>1+0.0449182034414775i</v>
      </c>
      <c r="AN308" s="50">
        <f t="shared" si="295"/>
        <v>1.0010083141514909</v>
      </c>
      <c r="AO308" s="50">
        <f t="shared" si="296"/>
        <v>4.4888030297412368E-2</v>
      </c>
      <c r="AP308" s="50" t="str">
        <f t="shared" si="275"/>
        <v>1-0.129147620401125i</v>
      </c>
      <c r="AQ308" s="50">
        <f t="shared" si="297"/>
        <v>1.0083050668598632</v>
      </c>
      <c r="AR308" s="50">
        <f t="shared" si="298"/>
        <v>-0.12843669911036446</v>
      </c>
      <c r="AS308" s="59" t="str">
        <f t="shared" si="299"/>
        <v>-0.165238462641599-2.91292088175994i</v>
      </c>
      <c r="AT308" s="50">
        <f t="shared" si="300"/>
        <v>9.3005262573064122</v>
      </c>
      <c r="AU308" s="61">
        <f t="shared" si="301"/>
        <v>-93.246683149311735</v>
      </c>
      <c r="AV308" s="32" t="str">
        <f t="shared" si="276"/>
        <v>-0.0000333333333333333</v>
      </c>
      <c r="AW308" s="32" t="str">
        <f t="shared" si="277"/>
        <v>0.0023956375168788i</v>
      </c>
      <c r="AX308" s="32">
        <f t="shared" si="302"/>
        <v>2.3956375168788001E-3</v>
      </c>
      <c r="AY308" s="32">
        <f t="shared" si="303"/>
        <v>1.5707963267948966</v>
      </c>
      <c r="AZ308" s="32" t="str">
        <f t="shared" si="278"/>
        <v>1+0.977386834143261i</v>
      </c>
      <c r="BA308" s="32">
        <f t="shared" si="304"/>
        <v>1.3983150659120378</v>
      </c>
      <c r="BB308" s="32">
        <f t="shared" si="305"/>
        <v>0.77396277818873882</v>
      </c>
      <c r="BC308" s="32" t="str">
        <f t="shared" si="279"/>
        <v>1+46.9145680388766i</v>
      </c>
      <c r="BD308" s="32">
        <f t="shared" si="306"/>
        <v>46.925224498923626</v>
      </c>
      <c r="BE308" s="32">
        <f t="shared" si="307"/>
        <v>1.5494842134119535</v>
      </c>
      <c r="BF308" s="59" t="str">
        <f t="shared" si="308"/>
        <v>-0.326897732576145+0.333419720644476i</v>
      </c>
      <c r="BG308" s="50">
        <f t="shared" si="309"/>
        <v>-6.6148207664188474</v>
      </c>
      <c r="BH308" s="61">
        <f t="shared" si="310"/>
        <v>134.43410516021842</v>
      </c>
      <c r="BI308" s="59" t="str">
        <f t="shared" si="311"/>
        <v>0.214614005303363+0.110206267072937i</v>
      </c>
      <c r="BJ308" s="64">
        <f t="shared" si="312"/>
        <v>-12.350427464313087</v>
      </c>
      <c r="BK308" s="61">
        <f t="shared" si="313"/>
        <v>27.180915701432578</v>
      </c>
      <c r="BL308" s="59" t="str">
        <f t="shared" si="318"/>
        <v>1.02524134542777+0.897133469367345i</v>
      </c>
      <c r="BM308" s="64">
        <f t="shared" si="314"/>
        <v>2.6857054908875821</v>
      </c>
      <c r="BN308" s="61">
        <f t="shared" si="319"/>
        <v>41.187422010906587</v>
      </c>
      <c r="BO308" s="50">
        <f t="shared" si="315"/>
        <v>-12.350427464313087</v>
      </c>
      <c r="BP308" s="61">
        <f t="shared" si="316"/>
        <v>27.180915701432578</v>
      </c>
    </row>
    <row r="309" spans="14:68" x14ac:dyDescent="0.25">
      <c r="N309" s="11">
        <v>91</v>
      </c>
      <c r="O309" s="51">
        <f t="shared" si="317"/>
        <v>8128.3051616410066</v>
      </c>
      <c r="P309" s="49" t="str">
        <f t="shared" si="267"/>
        <v>37.1583961085025</v>
      </c>
      <c r="Q309" s="18" t="str">
        <f t="shared" si="268"/>
        <v>1+40.030463884775i</v>
      </c>
      <c r="R309" s="18">
        <f t="shared" si="280"/>
        <v>40.042952423994358</v>
      </c>
      <c r="S309" s="18">
        <f t="shared" si="281"/>
        <v>1.5458205467398056</v>
      </c>
      <c r="T309" s="18" t="str">
        <f t="shared" si="269"/>
        <v>1+0.0459644828075054i</v>
      </c>
      <c r="U309" s="18">
        <f t="shared" si="282"/>
        <v>1.0010558094730591</v>
      </c>
      <c r="V309" s="18">
        <f t="shared" si="283"/>
        <v>4.5932153542530205E-2</v>
      </c>
      <c r="W309" s="32" t="str">
        <f t="shared" si="270"/>
        <v>1-0.402322223647868i</v>
      </c>
      <c r="X309" s="18">
        <f t="shared" si="284"/>
        <v>1.0778975701062532</v>
      </c>
      <c r="Y309" s="18">
        <f t="shared" si="285"/>
        <v>-0.38250668959634765</v>
      </c>
      <c r="Z309" s="32" t="str">
        <f t="shared" si="271"/>
        <v>0.998348266379981+0.096865891546187i</v>
      </c>
      <c r="AA309" s="18">
        <f t="shared" si="286"/>
        <v>1.0030365207353873</v>
      </c>
      <c r="AB309" s="18">
        <f t="shared" si="287"/>
        <v>9.6723390736805651E-2</v>
      </c>
      <c r="AC309" s="32" t="str">
        <f>IMDIV(IMSUM(COMPLEX(0,2*PI()*O309*Constants!$B$61*Constants!$B$62),COMPLEX(1,0)),IMSUM(COMPLEX(0,2*PI()*O309*Constants!$B$61*Constants!$B$62),COMPLEX(2,0)))</f>
        <v>0.505162761969321+0.0505443060443878i</v>
      </c>
      <c r="AD309" s="18">
        <f t="shared" si="288"/>
        <v>0.50768508246154087</v>
      </c>
      <c r="AE309" s="18">
        <f t="shared" si="289"/>
        <v>9.9723589580377137E-2</v>
      </c>
      <c r="AF309" s="66" t="str">
        <f t="shared" si="290"/>
        <v>-0.153929899228362-0.482867411195319i</v>
      </c>
      <c r="AG309" s="64">
        <f t="shared" si="291"/>
        <v>-5.9031138285904259</v>
      </c>
      <c r="AH309" s="61">
        <f t="shared" si="292"/>
        <v>-107.68139488881718</v>
      </c>
      <c r="AI309" s="50" t="str">
        <f t="shared" si="272"/>
        <v>107.538871525172</v>
      </c>
      <c r="AJ309" s="50" t="str">
        <f t="shared" si="273"/>
        <v>1+38.0550101166036i</v>
      </c>
      <c r="AK309" s="50">
        <f t="shared" si="293"/>
        <v>38.068146723669152</v>
      </c>
      <c r="AL309" s="50">
        <f t="shared" si="294"/>
        <v>1.5445246238340802</v>
      </c>
      <c r="AM309" s="50" t="str">
        <f t="shared" si="274"/>
        <v>1+0.0459644828075054i</v>
      </c>
      <c r="AN309" s="50">
        <f t="shared" si="295"/>
        <v>1.0010558094730591</v>
      </c>
      <c r="AO309" s="50">
        <f t="shared" si="296"/>
        <v>4.5932153542530205E-2</v>
      </c>
      <c r="AP309" s="50" t="str">
        <f t="shared" si="275"/>
        <v>1-0.132155854926206i</v>
      </c>
      <c r="AQ309" s="50">
        <f t="shared" si="297"/>
        <v>1.0086947853495012</v>
      </c>
      <c r="AR309" s="50">
        <f t="shared" si="298"/>
        <v>-0.13139444322772215</v>
      </c>
      <c r="AS309" s="59" t="str">
        <f t="shared" si="299"/>
        <v>-0.16874108138495-2.84747933366034i</v>
      </c>
      <c r="AT309" s="50">
        <f t="shared" si="300"/>
        <v>9.1044361262866733</v>
      </c>
      <c r="AU309" s="61">
        <f t="shared" si="301"/>
        <v>-93.391370806209821</v>
      </c>
      <c r="AV309" s="32" t="str">
        <f t="shared" si="276"/>
        <v>-0.0000333333333333333</v>
      </c>
      <c r="AW309" s="32" t="str">
        <f t="shared" si="277"/>
        <v>0.00245143908306695i</v>
      </c>
      <c r="AX309" s="32">
        <f t="shared" si="302"/>
        <v>2.4514390830669502E-3</v>
      </c>
      <c r="AY309" s="32">
        <f t="shared" si="303"/>
        <v>1.5707963267948966</v>
      </c>
      <c r="AZ309" s="32" t="str">
        <f t="shared" si="278"/>
        <v>1+1.00015309812627i</v>
      </c>
      <c r="BA309" s="32">
        <f t="shared" si="304"/>
        <v>1.4143218232395258</v>
      </c>
      <c r="BB309" s="32">
        <f t="shared" si="305"/>
        <v>0.78547470660112328</v>
      </c>
      <c r="BC309" s="32" t="str">
        <f t="shared" si="279"/>
        <v>1+48.0073487100612i</v>
      </c>
      <c r="BD309" s="32">
        <f t="shared" si="306"/>
        <v>48.017762652683167</v>
      </c>
      <c r="BE309" s="32">
        <f t="shared" si="307"/>
        <v>1.5499691944314118</v>
      </c>
      <c r="BF309" s="59" t="str">
        <f t="shared" si="308"/>
        <v>-0.319540195620297+0.333186571917623i</v>
      </c>
      <c r="BG309" s="50">
        <f t="shared" si="309"/>
        <v>-6.7137736503020484</v>
      </c>
      <c r="BH309" s="61">
        <f t="shared" si="310"/>
        <v>133.80230761369108</v>
      </c>
      <c r="BI309" s="59" t="str">
        <f t="shared" si="311"/>
        <v>0.210071727538149+0.103008171592496i</v>
      </c>
      <c r="BJ309" s="64">
        <f t="shared" si="312"/>
        <v>-12.616887478892469</v>
      </c>
      <c r="BK309" s="61">
        <f t="shared" si="313"/>
        <v>26.120912724874017</v>
      </c>
      <c r="BL309" s="59" t="str">
        <f t="shared" si="318"/>
        <v>1.00266143594349+0.853661840854254i</v>
      </c>
      <c r="BM309" s="64">
        <f t="shared" si="314"/>
        <v>2.390662475984608</v>
      </c>
      <c r="BN309" s="61">
        <f t="shared" si="319"/>
        <v>40.410936807481391</v>
      </c>
      <c r="BO309" s="50">
        <f t="shared" si="315"/>
        <v>-12.616887478892469</v>
      </c>
      <c r="BP309" s="61">
        <f t="shared" si="316"/>
        <v>26.120912724874017</v>
      </c>
    </row>
    <row r="310" spans="14:68" x14ac:dyDescent="0.25">
      <c r="N310" s="11">
        <v>92</v>
      </c>
      <c r="O310" s="51">
        <f t="shared" si="317"/>
        <v>8317.6377110267094</v>
      </c>
      <c r="P310" s="49" t="str">
        <f t="shared" si="267"/>
        <v>37.1583961085025</v>
      </c>
      <c r="Q310" s="18" t="str">
        <f t="shared" si="268"/>
        <v>1+40.962893171038i</v>
      </c>
      <c r="R310" s="18">
        <f t="shared" si="280"/>
        <v>40.975097522054426</v>
      </c>
      <c r="S310" s="18">
        <f t="shared" si="281"/>
        <v>1.54638883651474</v>
      </c>
      <c r="T310" s="18" t="str">
        <f t="shared" si="269"/>
        <v>1+0.0470351331507294i</v>
      </c>
      <c r="U310" s="18">
        <f t="shared" si="282"/>
        <v>1.0011055407650618</v>
      </c>
      <c r="V310" s="18">
        <f t="shared" si="283"/>
        <v>4.7000493784971557E-2</v>
      </c>
      <c r="W310" s="32" t="str">
        <f t="shared" si="270"/>
        <v>1-0.411693512097673i</v>
      </c>
      <c r="X310" s="18">
        <f t="shared" si="284"/>
        <v>1.0814303250340804</v>
      </c>
      <c r="Y310" s="18">
        <f t="shared" si="285"/>
        <v>-0.3905461693797046</v>
      </c>
      <c r="Z310" s="32" t="str">
        <f t="shared" si="271"/>
        <v>0.998270422572703+0.0991221880102406i</v>
      </c>
      <c r="AA310" s="18">
        <f t="shared" si="286"/>
        <v>1.0031794678617683</v>
      </c>
      <c r="AB310" s="18">
        <f t="shared" si="287"/>
        <v>9.8969519116649668E-2</v>
      </c>
      <c r="AC310" s="32" t="str">
        <f>IMDIV(IMSUM(COMPLEX(0,2*PI()*O310*Constants!$B$61*Constants!$B$62),COMPLEX(1,0)),IMSUM(COMPLEX(0,2*PI()*O310*Constants!$B$61*Constants!$B$62),COMPLEX(2,0)))</f>
        <v>0.505403445982424+0.0516964772757967i</v>
      </c>
      <c r="AD310" s="18">
        <f t="shared" si="288"/>
        <v>0.50804051902740588</v>
      </c>
      <c r="AE310" s="18">
        <f t="shared" si="289"/>
        <v>0.10193303092357048</v>
      </c>
      <c r="AF310" s="66" t="str">
        <f t="shared" si="290"/>
        <v>-0.15459736639044-0.472559004697558i</v>
      </c>
      <c r="AG310" s="64">
        <f t="shared" si="291"/>
        <v>-6.0692982183403323</v>
      </c>
      <c r="AH310" s="61">
        <f t="shared" si="292"/>
        <v>-108.11547438091549</v>
      </c>
      <c r="AI310" s="50" t="str">
        <f t="shared" si="272"/>
        <v>107.538871525172</v>
      </c>
      <c r="AJ310" s="50" t="str">
        <f t="shared" si="273"/>
        <v>1+38.9414251734935i</v>
      </c>
      <c r="AK310" s="50">
        <f t="shared" si="293"/>
        <v>38.954262854568221</v>
      </c>
      <c r="AL310" s="50">
        <f t="shared" si="294"/>
        <v>1.5451223749910548</v>
      </c>
      <c r="AM310" s="50" t="str">
        <f t="shared" si="274"/>
        <v>1+0.0470351331507294i</v>
      </c>
      <c r="AN310" s="50">
        <f t="shared" si="295"/>
        <v>1.0011055407650618</v>
      </c>
      <c r="AO310" s="50">
        <f t="shared" si="296"/>
        <v>4.7000493784971557E-2</v>
      </c>
      <c r="AP310" s="50" t="str">
        <f t="shared" si="275"/>
        <v>1-0.135234160234858i</v>
      </c>
      <c r="AQ310" s="50">
        <f t="shared" si="297"/>
        <v>1.0091027093881115</v>
      </c>
      <c r="AR310" s="50">
        <f t="shared" si="298"/>
        <v>-0.1344186898579515</v>
      </c>
      <c r="AS310" s="59" t="str">
        <f t="shared" si="299"/>
        <v>-0.172086268989364-2.78353927501028i</v>
      </c>
      <c r="AT310" s="50">
        <f t="shared" si="300"/>
        <v>8.9085144332033739</v>
      </c>
      <c r="AU310" s="61">
        <f t="shared" si="301"/>
        <v>-93.537684605846437</v>
      </c>
      <c r="AV310" s="32" t="str">
        <f t="shared" si="276"/>
        <v>-0.0000333333333333333</v>
      </c>
      <c r="AW310" s="32" t="str">
        <f t="shared" si="277"/>
        <v>0.00250854043470556i</v>
      </c>
      <c r="AX310" s="32">
        <f t="shared" si="302"/>
        <v>2.5085404347055598E-3</v>
      </c>
      <c r="AY310" s="32">
        <f t="shared" si="303"/>
        <v>1.5707963267948966</v>
      </c>
      <c r="AZ310" s="32" t="str">
        <f t="shared" si="278"/>
        <v>1+1.0234496565205i</v>
      </c>
      <c r="BA310" s="32">
        <f t="shared" si="304"/>
        <v>1.4308910508602426</v>
      </c>
      <c r="BB310" s="32">
        <f t="shared" si="305"/>
        <v>0.79698659444004638</v>
      </c>
      <c r="BC310" s="32" t="str">
        <f t="shared" si="279"/>
        <v>1+49.1255835129841i</v>
      </c>
      <c r="BD310" s="32">
        <f t="shared" si="306"/>
        <v>49.135760455000337</v>
      </c>
      <c r="BE310" s="32">
        <f t="shared" si="307"/>
        <v>1.550443145403686</v>
      </c>
      <c r="BF310" s="59" t="str">
        <f t="shared" si="308"/>
        <v>-0.312182710524923+0.332791227280103i</v>
      </c>
      <c r="BG310" s="50">
        <f t="shared" si="309"/>
        <v>-6.8150249222272175</v>
      </c>
      <c r="BH310" s="61">
        <f t="shared" si="310"/>
        <v>133.16988041670018</v>
      </c>
      <c r="BI310" s="59" t="str">
        <f t="shared" si="311"/>
        <v>0.205526116015346+0.0960761036740972i</v>
      </c>
      <c r="BJ310" s="64">
        <f t="shared" si="312"/>
        <v>-12.884323140567563</v>
      </c>
      <c r="BK310" s="61">
        <f t="shared" si="313"/>
        <v>25.054406035784755</v>
      </c>
      <c r="BL310" s="59" t="str">
        <f t="shared" si="318"/>
        <v>0.98005980941026+0.811704035070264i</v>
      </c>
      <c r="BM310" s="64">
        <f t="shared" si="314"/>
        <v>2.0934895109761547</v>
      </c>
      <c r="BN310" s="61">
        <f t="shared" si="319"/>
        <v>39.632195810853766</v>
      </c>
      <c r="BO310" s="50">
        <f t="shared" si="315"/>
        <v>-12.884323140567563</v>
      </c>
      <c r="BP310" s="61">
        <f t="shared" si="316"/>
        <v>25.054406035784755</v>
      </c>
    </row>
    <row r="311" spans="14:68" x14ac:dyDescent="0.25">
      <c r="N311" s="11">
        <v>93</v>
      </c>
      <c r="O311" s="51">
        <f t="shared" si="317"/>
        <v>8511.3803820237772</v>
      </c>
      <c r="P311" s="49" t="str">
        <f t="shared" si="267"/>
        <v>37.1583961085025</v>
      </c>
      <c r="Q311" s="18" t="str">
        <f t="shared" si="268"/>
        <v>1+41.9170415254684i</v>
      </c>
      <c r="R311" s="18">
        <f t="shared" si="280"/>
        <v>41.928968151480213</v>
      </c>
      <c r="S311" s="18">
        <f t="shared" si="281"/>
        <v>1.5469442056719871</v>
      </c>
      <c r="T311" s="18" t="str">
        <f t="shared" si="269"/>
        <v>1+0.0481307221441336i</v>
      </c>
      <c r="U311" s="18">
        <f t="shared" si="282"/>
        <v>1.0011576131729287</v>
      </c>
      <c r="V311" s="18">
        <f t="shared" si="283"/>
        <v>4.8093607712517493E-2</v>
      </c>
      <c r="W311" s="32" t="str">
        <f t="shared" si="270"/>
        <v>1-0.421283085897001i</v>
      </c>
      <c r="X311" s="18">
        <f t="shared" si="284"/>
        <v>1.0851172464129855</v>
      </c>
      <c r="Y311" s="18">
        <f t="shared" si="285"/>
        <v>-0.39871818014021082</v>
      </c>
      <c r="Z311" s="32" t="str">
        <f t="shared" si="271"/>
        <v>0.998188910099812+0.101431040370415i</v>
      </c>
      <c r="AA311" s="18">
        <f t="shared" si="286"/>
        <v>1.003329136523442</v>
      </c>
      <c r="AB311" s="18">
        <f t="shared" si="287"/>
        <v>0.10126747903256661</v>
      </c>
      <c r="AC311" s="32" t="str">
        <f>IMDIV(IMSUM(COMPLEX(0,2*PI()*O311*Constants!$B$61*Constants!$B$62),COMPLEX(1,0)),IMSUM(COMPLEX(0,2*PI()*O311*Constants!$B$61*Constants!$B$62),COMPLEX(2,0)))</f>
        <v>0.505655222267109+0.0528737136454782i</v>
      </c>
      <c r="AD311" s="18">
        <f t="shared" si="288"/>
        <v>0.50841207047105352</v>
      </c>
      <c r="AE311" s="18">
        <f t="shared" si="289"/>
        <v>0.10418613791106718</v>
      </c>
      <c r="AF311" s="66" t="str">
        <f t="shared" si="290"/>
        <v>-0.155247652703141-0.462498199154422i</v>
      </c>
      <c r="AG311" s="64">
        <f t="shared" si="291"/>
        <v>-6.2341133194755702</v>
      </c>
      <c r="AH311" s="61">
        <f t="shared" si="292"/>
        <v>-108.55545548533183</v>
      </c>
      <c r="AI311" s="50" t="str">
        <f t="shared" si="272"/>
        <v>107.538871525172</v>
      </c>
      <c r="AJ311" s="50" t="str">
        <f t="shared" si="273"/>
        <v>1+39.8484874894614i</v>
      </c>
      <c r="AK311" s="50">
        <f t="shared" si="293"/>
        <v>39.86103304228029</v>
      </c>
      <c r="AL311" s="50">
        <f t="shared" si="294"/>
        <v>1.5457065374033325</v>
      </c>
      <c r="AM311" s="50" t="str">
        <f t="shared" si="274"/>
        <v>1+0.0481307221441336i</v>
      </c>
      <c r="AN311" s="50">
        <f t="shared" si="295"/>
        <v>1.0011576131729287</v>
      </c>
      <c r="AO311" s="50">
        <f t="shared" si="296"/>
        <v>4.8093607712517493E-2</v>
      </c>
      <c r="AP311" s="50" t="str">
        <f t="shared" si="275"/>
        <v>1-0.138384168485303i</v>
      </c>
      <c r="AQ311" s="50">
        <f t="shared" si="297"/>
        <v>1.0095296816277215</v>
      </c>
      <c r="AR311" s="50">
        <f t="shared" si="298"/>
        <v>-0.1375108210999352</v>
      </c>
      <c r="AS311" s="59" t="str">
        <f t="shared" si="299"/>
        <v>-0.175281092328466-2.72106735599701i</v>
      </c>
      <c r="AT311" s="50">
        <f t="shared" si="300"/>
        <v>8.7127694340428299</v>
      </c>
      <c r="AU311" s="61">
        <f t="shared" si="301"/>
        <v>-93.68568990191099</v>
      </c>
      <c r="AV311" s="32" t="str">
        <f t="shared" si="276"/>
        <v>-0.0000333333333333333</v>
      </c>
      <c r="AW311" s="32" t="str">
        <f t="shared" si="277"/>
        <v>0.00256697184768712i</v>
      </c>
      <c r="AX311" s="32">
        <f t="shared" si="302"/>
        <v>2.5669718476871201E-3</v>
      </c>
      <c r="AY311" s="32">
        <f t="shared" si="303"/>
        <v>1.5707963267948966</v>
      </c>
      <c r="AZ311" s="32" t="str">
        <f t="shared" si="278"/>
        <v>1+1.04728886146957i</v>
      </c>
      <c r="BA311" s="32">
        <f t="shared" si="304"/>
        <v>1.4480379688938505</v>
      </c>
      <c r="BB311" s="32">
        <f t="shared" si="305"/>
        <v>0.80849234176657458</v>
      </c>
      <c r="BC311" s="32" t="str">
        <f t="shared" si="279"/>
        <v>1+50.2698653505396i</v>
      </c>
      <c r="BD311" s="32">
        <f t="shared" si="306"/>
        <v>50.279810683428217</v>
      </c>
      <c r="BE311" s="32">
        <f t="shared" si="307"/>
        <v>1.5509063167716601</v>
      </c>
      <c r="BF311" s="59" t="str">
        <f t="shared" si="308"/>
        <v>-0.304833072046304+0.332233749954368i</v>
      </c>
      <c r="BG311" s="50">
        <f t="shared" si="309"/>
        <v>-6.9185735256247227</v>
      </c>
      <c r="BH311" s="61">
        <f t="shared" si="310"/>
        <v>132.53718741932238</v>
      </c>
      <c r="BI311" s="59" t="str">
        <f t="shared" si="311"/>
        <v>0.200982129953692+0.0894062370349478i</v>
      </c>
      <c r="BJ311" s="64">
        <f t="shared" si="312"/>
        <v>-13.152686845100289</v>
      </c>
      <c r="BK311" s="61">
        <f t="shared" si="313"/>
        <v>23.981731933990527</v>
      </c>
      <c r="BL311" s="59" t="str">
        <f t="shared" si="318"/>
        <v>0.957461885407422+0.771237026773098i</v>
      </c>
      <c r="BM311" s="64">
        <f t="shared" si="314"/>
        <v>1.7941959084181054</v>
      </c>
      <c r="BN311" s="61">
        <f t="shared" si="319"/>
        <v>38.851497517411381</v>
      </c>
      <c r="BO311" s="50">
        <f t="shared" si="315"/>
        <v>-13.152686845100289</v>
      </c>
      <c r="BP311" s="61">
        <f t="shared" si="316"/>
        <v>23.981731933990527</v>
      </c>
    </row>
    <row r="312" spans="14:68" x14ac:dyDescent="0.25">
      <c r="N312" s="11">
        <v>94</v>
      </c>
      <c r="O312" s="51">
        <f t="shared" si="317"/>
        <v>8709.6358995608189</v>
      </c>
      <c r="P312" s="49" t="str">
        <f t="shared" si="267"/>
        <v>37.1583961085025</v>
      </c>
      <c r="Q312" s="18" t="str">
        <f t="shared" si="268"/>
        <v>1+42.8934148501532i</v>
      </c>
      <c r="R312" s="18">
        <f t="shared" si="280"/>
        <v>42.905070067619548</v>
      </c>
      <c r="S312" s="18">
        <f t="shared" si="281"/>
        <v>1.5474869473044786</v>
      </c>
      <c r="T312" s="18" t="str">
        <f t="shared" si="269"/>
        <v>1+0.049251830683504i</v>
      </c>
      <c r="U312" s="18">
        <f t="shared" si="282"/>
        <v>1.0012121367750575</v>
      </c>
      <c r="V312" s="18">
        <f t="shared" si="283"/>
        <v>4.9212064453423E-2</v>
      </c>
      <c r="W312" s="32" t="str">
        <f t="shared" si="270"/>
        <v>1-0.431096029564812i</v>
      </c>
      <c r="X312" s="18">
        <f t="shared" si="284"/>
        <v>1.0889645479567025</v>
      </c>
      <c r="Y312" s="18">
        <f t="shared" si="285"/>
        <v>-0.40702268780645473</v>
      </c>
      <c r="Z312" s="32" t="str">
        <f t="shared" si="271"/>
        <v>0.998103556062427+0.103793672810792i</v>
      </c>
      <c r="AA312" s="18">
        <f t="shared" si="286"/>
        <v>1.0034858420227044</v>
      </c>
      <c r="AB312" s="18">
        <f t="shared" si="287"/>
        <v>0.10361844320943012</v>
      </c>
      <c r="AC312" s="32" t="str">
        <f>IMDIV(IMSUM(COMPLEX(0,2*PI()*O312*Constants!$B$61*Constants!$B$62),COMPLEX(1,0)),IMSUM(COMPLEX(0,2*PI()*O312*Constants!$B$61*Constants!$B$62),COMPLEX(2,0)))</f>
        <v>0.505918589807773+0.0540764754636767i</v>
      </c>
      <c r="AD312" s="18">
        <f t="shared" si="288"/>
        <v>0.50880043701991784</v>
      </c>
      <c r="AE312" s="18">
        <f t="shared" si="289"/>
        <v>0.10648340652742384</v>
      </c>
      <c r="AF312" s="66" t="str">
        <f t="shared" si="290"/>
        <v>-0.155882102508187-0.452679612155996i</v>
      </c>
      <c r="AG312" s="64">
        <f t="shared" si="291"/>
        <v>-6.3975116529900111</v>
      </c>
      <c r="AH312" s="61">
        <f t="shared" si="292"/>
        <v>-109.00135920862326</v>
      </c>
      <c r="AI312" s="50" t="str">
        <f t="shared" si="272"/>
        <v>107.538871525172</v>
      </c>
      <c r="AJ312" s="50" t="str">
        <f t="shared" si="273"/>
        <v>1+40.7766780009531i</v>
      </c>
      <c r="AK312" s="50">
        <f t="shared" si="293"/>
        <v>40.788938068959482</v>
      </c>
      <c r="AL312" s="50">
        <f t="shared" si="294"/>
        <v>1.5462774192058992</v>
      </c>
      <c r="AM312" s="50" t="str">
        <f t="shared" si="274"/>
        <v>1+0.049251830683504i</v>
      </c>
      <c r="AN312" s="50">
        <f t="shared" si="295"/>
        <v>1.0012121367750575</v>
      </c>
      <c r="AO312" s="50">
        <f t="shared" si="296"/>
        <v>4.9212064453423E-2</v>
      </c>
      <c r="AP312" s="50" t="str">
        <f t="shared" si="275"/>
        <v>1-0.14160754985361i</v>
      </c>
      <c r="AQ312" s="50">
        <f t="shared" si="297"/>
        <v>1.0099765829837555</v>
      </c>
      <c r="AR312" s="50">
        <f t="shared" si="298"/>
        <v>-0.14067223980027094</v>
      </c>
      <c r="AS312" s="59" t="str">
        <f t="shared" si="299"/>
        <v>-0.178332301856781-2.66003096846615i</v>
      </c>
      <c r="AT312" s="50">
        <f t="shared" si="300"/>
        <v>8.5172097225543411</v>
      </c>
      <c r="AU312" s="61">
        <f t="shared" si="301"/>
        <v>-93.835452117780008</v>
      </c>
      <c r="AV312" s="32" t="str">
        <f t="shared" si="276"/>
        <v>-0.0000333333333333333</v>
      </c>
      <c r="AW312" s="32" t="str">
        <f t="shared" si="277"/>
        <v>0.00262676430312021i</v>
      </c>
      <c r="AX312" s="32">
        <f t="shared" si="302"/>
        <v>2.6267643031202101E-3</v>
      </c>
      <c r="AY312" s="32">
        <f t="shared" si="303"/>
        <v>1.5707963267948966</v>
      </c>
      <c r="AZ312" s="32" t="str">
        <f t="shared" si="278"/>
        <v>1+1.0716833528355i</v>
      </c>
      <c r="BA312" s="32">
        <f t="shared" si="304"/>
        <v>1.465778021647459</v>
      </c>
      <c r="BB312" s="32">
        <f t="shared" si="305"/>
        <v>0.81998586489555836</v>
      </c>
      <c r="BC312" s="32" t="str">
        <f t="shared" si="279"/>
        <v>1+51.4408009361043i</v>
      </c>
      <c r="BD312" s="32">
        <f t="shared" si="306"/>
        <v>51.450519928839483</v>
      </c>
      <c r="BE312" s="32">
        <f t="shared" si="307"/>
        <v>1.5513589533195637</v>
      </c>
      <c r="BF312" s="59" t="str">
        <f t="shared" si="308"/>
        <v>-0.297499041724075+0.331514654131461i</v>
      </c>
      <c r="BG312" s="50">
        <f t="shared" si="309"/>
        <v>-7.0244159612009636</v>
      </c>
      <c r="BH312" s="61">
        <f t="shared" si="310"/>
        <v>131.90459121614387</v>
      </c>
      <c r="BI312" s="59" t="str">
        <f t="shared" si="311"/>
        <v>0.196444701174379+0.0829945495261482i</v>
      </c>
      <c r="BJ312" s="64">
        <f t="shared" si="312"/>
        <v>-13.421927614190954</v>
      </c>
      <c r="BK312" s="61">
        <f t="shared" si="313"/>
        <v>22.903232007520582</v>
      </c>
      <c r="BL312" s="59" t="str">
        <f t="shared" si="318"/>
        <v>0.934892935400872+0.732236892704525i</v>
      </c>
      <c r="BM312" s="64">
        <f t="shared" si="314"/>
        <v>1.4927937613533797</v>
      </c>
      <c r="BN312" s="61">
        <f t="shared" si="319"/>
        <v>38.069139098363877</v>
      </c>
      <c r="BO312" s="50">
        <f t="shared" si="315"/>
        <v>-13.421927614190954</v>
      </c>
      <c r="BP312" s="61">
        <f t="shared" si="316"/>
        <v>22.903232007520582</v>
      </c>
    </row>
    <row r="313" spans="14:68" x14ac:dyDescent="0.25">
      <c r="N313" s="11">
        <v>95</v>
      </c>
      <c r="O313" s="51">
        <f t="shared" si="317"/>
        <v>8912.5093813374679</v>
      </c>
      <c r="P313" s="49" t="str">
        <f t="shared" si="267"/>
        <v>37.1583961085025</v>
      </c>
      <c r="Q313" s="18" t="str">
        <f t="shared" si="268"/>
        <v>1+43.892530831153i</v>
      </c>
      <c r="R313" s="18">
        <f t="shared" si="280"/>
        <v>43.903920813108677</v>
      </c>
      <c r="S313" s="18">
        <f t="shared" si="281"/>
        <v>1.5480173479012822</v>
      </c>
      <c r="T313" s="18" t="str">
        <f t="shared" si="269"/>
        <v>1+0.0503990531954279i</v>
      </c>
      <c r="U313" s="18">
        <f t="shared" si="282"/>
        <v>1.0012692268131462</v>
      </c>
      <c r="V313" s="18">
        <f t="shared" si="283"/>
        <v>5.0356445828869147E-2</v>
      </c>
      <c r="W313" s="32" t="str">
        <f t="shared" si="270"/>
        <v>1-0.441137546053729i</v>
      </c>
      <c r="X313" s="18">
        <f t="shared" si="284"/>
        <v>1.0929786523708072</v>
      </c>
      <c r="Y313" s="18">
        <f t="shared" si="285"/>
        <v>-0.4154595127340121</v>
      </c>
      <c r="Z313" s="32" t="str">
        <f t="shared" si="271"/>
        <v>0.998014179413189+0.106211338030364i</v>
      </c>
      <c r="AA313" s="18">
        <f t="shared" si="286"/>
        <v>1.0036499143804982</v>
      </c>
      <c r="AB313" s="18">
        <f t="shared" si="287"/>
        <v>0.10602360924867478</v>
      </c>
      <c r="AC313" s="32" t="str">
        <f>IMDIV(IMSUM(COMPLEX(0,2*PI()*O313*Constants!$B$61*Constants!$B$62),COMPLEX(1,0)),IMSUM(COMPLEX(0,2*PI()*O313*Constants!$B$61*Constants!$B$62),COMPLEX(2,0)))</f>
        <v>0.506194068872367+0.0553052253135985i</v>
      </c>
      <c r="AD313" s="18">
        <f t="shared" si="288"/>
        <v>0.50920634649280494</v>
      </c>
      <c r="AE313" s="18">
        <f t="shared" si="289"/>
        <v>0.10882531125735216</v>
      </c>
      <c r="AF313" s="66" t="str">
        <f t="shared" si="290"/>
        <v>-0.156502023948981-0.443097976097287i</v>
      </c>
      <c r="AG313" s="64">
        <f t="shared" si="291"/>
        <v>-6.5594448435040125</v>
      </c>
      <c r="AH313" s="61">
        <f t="shared" si="292"/>
        <v>-109.45319976817497</v>
      </c>
      <c r="AI313" s="50" t="str">
        <f t="shared" si="272"/>
        <v>107.538871525172</v>
      </c>
      <c r="AJ313" s="50" t="str">
        <f t="shared" si="273"/>
        <v>1+41.7264888468641i</v>
      </c>
      <c r="AK313" s="50">
        <f t="shared" si="293"/>
        <v>41.738469922692119</v>
      </c>
      <c r="AL313" s="50">
        <f t="shared" si="294"/>
        <v>1.54683532159856</v>
      </c>
      <c r="AM313" s="50" t="str">
        <f t="shared" si="274"/>
        <v>1+0.0503990531954279i</v>
      </c>
      <c r="AN313" s="50">
        <f t="shared" si="295"/>
        <v>1.0012692268131462</v>
      </c>
      <c r="AO313" s="50">
        <f t="shared" si="296"/>
        <v>5.0356445828869147E-2</v>
      </c>
      <c r="AP313" s="50" t="str">
        <f t="shared" si="275"/>
        <v>1-0.144906013419247i</v>
      </c>
      <c r="AQ313" s="50">
        <f t="shared" si="297"/>
        <v>1.0104443343030129</v>
      </c>
      <c r="AR313" s="50">
        <f t="shared" si="298"/>
        <v>-0.14390436927630412</v>
      </c>
      <c r="AS313" s="59" t="str">
        <f t="shared" si="299"/>
        <v>-0.181246345706711-2.60039823107787i</v>
      </c>
      <c r="AT313" s="50">
        <f t="shared" si="300"/>
        <v>8.3218442450318975</v>
      </c>
      <c r="AU313" s="61">
        <f t="shared" si="301"/>
        <v>-93.987036725109789</v>
      </c>
      <c r="AV313" s="32" t="str">
        <f t="shared" si="276"/>
        <v>-0.0000333333333333333</v>
      </c>
      <c r="AW313" s="32" t="str">
        <f t="shared" si="277"/>
        <v>0.00268794950375615i</v>
      </c>
      <c r="AX313" s="32">
        <f t="shared" si="302"/>
        <v>2.6879495037561499E-3</v>
      </c>
      <c r="AY313" s="32">
        <f t="shared" si="303"/>
        <v>1.5707963267948966</v>
      </c>
      <c r="AZ313" s="32" t="str">
        <f t="shared" si="278"/>
        <v>1+1.09664606490051i</v>
      </c>
      <c r="BA313" s="32">
        <f t="shared" si="304"/>
        <v>1.4841268785591661</v>
      </c>
      <c r="BB313" s="32">
        <f t="shared" si="305"/>
        <v>0.83146111243709842</v>
      </c>
      <c r="BC313" s="32" t="str">
        <f t="shared" si="279"/>
        <v>1+52.6390111152247i</v>
      </c>
      <c r="BD313" s="32">
        <f t="shared" si="306"/>
        <v>52.648508917050528</v>
      </c>
      <c r="BE313" s="32">
        <f t="shared" si="307"/>
        <v>1.5518012942989714</v>
      </c>
      <c r="BF313" s="59" t="str">
        <f t="shared" si="308"/>
        <v>-0.290188315182658+0.330634900539232i</v>
      </c>
      <c r="BG313" s="50">
        <f t="shared" si="309"/>
        <v>-7.1325463028213338</v>
      </c>
      <c r="BH313" s="61">
        <f t="shared" si="310"/>
        <v>131.27245223437151</v>
      </c>
      <c r="BI313" s="59" t="str">
        <f t="shared" si="311"/>
        <v>0.191918713908492+0.0768368240219575i</v>
      </c>
      <c r="BJ313" s="64">
        <f t="shared" si="312"/>
        <v>-13.691991146325357</v>
      </c>
      <c r="BK313" s="61">
        <f t="shared" si="313"/>
        <v>21.819252466196556</v>
      </c>
      <c r="BL313" s="59" t="str">
        <f t="shared" si="318"/>
        <v>0.91237798218847+0.694678813994614i</v>
      </c>
      <c r="BM313" s="64">
        <f t="shared" si="314"/>
        <v>1.1892979422105616</v>
      </c>
      <c r="BN313" s="61">
        <f t="shared" si="319"/>
        <v>37.285415509261753</v>
      </c>
      <c r="BO313" s="50">
        <f t="shared" si="315"/>
        <v>-13.691991146325357</v>
      </c>
      <c r="BP313" s="61">
        <f t="shared" si="316"/>
        <v>21.819252466196556</v>
      </c>
    </row>
    <row r="314" spans="14:68" x14ac:dyDescent="0.25">
      <c r="N314" s="11">
        <v>96</v>
      </c>
      <c r="O314" s="51">
        <f t="shared" si="317"/>
        <v>9120.1083935591087</v>
      </c>
      <c r="P314" s="49" t="str">
        <f t="shared" si="267"/>
        <v>37.1583961085025</v>
      </c>
      <c r="Q314" s="18" t="str">
        <f t="shared" si="268"/>
        <v>1+44.9149192129858i</v>
      </c>
      <c r="R314" s="18">
        <f t="shared" si="280"/>
        <v>44.926049992282223</v>
      </c>
      <c r="S314" s="18">
        <f t="shared" si="281"/>
        <v>1.5485356874934126</v>
      </c>
      <c r="T314" s="18" t="str">
        <f t="shared" si="269"/>
        <v>1+0.0515729979524663i</v>
      </c>
      <c r="U314" s="18">
        <f t="shared" si="282"/>
        <v>1.0013290039331755</v>
      </c>
      <c r="V314" s="18">
        <f t="shared" si="283"/>
        <v>5.1527346608664565E-2</v>
      </c>
      <c r="W314" s="32" t="str">
        <f t="shared" si="270"/>
        <v>1-0.451412959508709i</v>
      </c>
      <c r="X314" s="18">
        <f t="shared" si="284"/>
        <v>1.0971661952559473</v>
      </c>
      <c r="Y314" s="18">
        <f t="shared" si="285"/>
        <v>-0.4240283229232279</v>
      </c>
      <c r="Z314" s="32" t="str">
        <f t="shared" si="271"/>
        <v>0.997920590572243+0.108685317907234i</v>
      </c>
      <c r="AA314" s="18">
        <f t="shared" si="286"/>
        <v>1.0038216990166386</v>
      </c>
      <c r="AB314" s="18">
        <f t="shared" si="287"/>
        <v>0.10848420003735211</v>
      </c>
      <c r="AC314" s="32" t="str">
        <f>IMDIV(IMSUM(COMPLEX(0,2*PI()*O314*Constants!$B$61*Constants!$B$62),COMPLEX(1,0)),IMSUM(COMPLEX(0,2*PI()*O314*Constants!$B$61*Constants!$B$62),COMPLEX(2,0)))</f>
        <v>0.506482201808913+0.0565604275458101i</v>
      </c>
      <c r="AD314" s="18">
        <f t="shared" si="288"/>
        <v>0.50963055512142252</v>
      </c>
      <c r="AE314" s="18">
        <f t="shared" si="289"/>
        <v>0.11121230269352561</v>
      </c>
      <c r="AF314" s="66" t="str">
        <f t="shared" si="290"/>
        <v>-0.157108691445727-0.433748135172583i</v>
      </c>
      <c r="AG314" s="64">
        <f t="shared" si="291"/>
        <v>-6.7198636594143792</v>
      </c>
      <c r="AH314" s="61">
        <f t="shared" si="292"/>
        <v>-109.9109843578118</v>
      </c>
      <c r="AI314" s="50" t="str">
        <f t="shared" si="272"/>
        <v>107.538871525172</v>
      </c>
      <c r="AJ314" s="50" t="str">
        <f t="shared" si="273"/>
        <v>1+42.698423629477i</v>
      </c>
      <c r="AK314" s="50">
        <f t="shared" si="293"/>
        <v>42.710132058356834</v>
      </c>
      <c r="AL314" s="50">
        <f t="shared" si="294"/>
        <v>1.5473805389985527</v>
      </c>
      <c r="AM314" s="50" t="str">
        <f t="shared" si="274"/>
        <v>1+0.0515729979524663i</v>
      </c>
      <c r="AN314" s="50">
        <f t="shared" si="295"/>
        <v>1.0013290039331755</v>
      </c>
      <c r="AO314" s="50">
        <f t="shared" si="296"/>
        <v>5.1527346608664565E-2</v>
      </c>
      <c r="AP314" s="50" t="str">
        <f t="shared" si="275"/>
        <v>1-0.148281308071256i</v>
      </c>
      <c r="AQ314" s="50">
        <f t="shared" si="297"/>
        <v>1.0109338980978542</v>
      </c>
      <c r="AR314" s="50">
        <f t="shared" si="298"/>
        <v>-0.14720865298511543</v>
      </c>
      <c r="AS314" s="59" t="str">
        <f t="shared" si="299"/>
        <v>-0.184029383163692-2.54213797468633i</v>
      </c>
      <c r="AT314" s="50">
        <f t="shared" si="300"/>
        <v>8.1266823155321219</v>
      </c>
      <c r="AU314" s="61">
        <f t="shared" si="301"/>
        <v>-94.140509218964326</v>
      </c>
      <c r="AV314" s="32" t="str">
        <f t="shared" si="276"/>
        <v>-0.0000333333333333333</v>
      </c>
      <c r="AW314" s="32" t="str">
        <f t="shared" si="277"/>
        <v>0.0027505598907982i</v>
      </c>
      <c r="AX314" s="32">
        <f t="shared" si="302"/>
        <v>2.7505598907982E-3</v>
      </c>
      <c r="AY314" s="32">
        <f t="shared" si="303"/>
        <v>1.5707963267948966</v>
      </c>
      <c r="AZ314" s="32" t="str">
        <f t="shared" si="278"/>
        <v>1+1.12219023322496i</v>
      </c>
      <c r="BA314" s="32">
        <f t="shared" si="304"/>
        <v>1.5031004356148296</v>
      </c>
      <c r="BB314" s="32">
        <f t="shared" si="305"/>
        <v>0.84291208113031157</v>
      </c>
      <c r="BC314" s="32" t="str">
        <f t="shared" si="279"/>
        <v>1+53.8651311947982i</v>
      </c>
      <c r="BD314" s="32">
        <f t="shared" si="306"/>
        <v>53.874412837940262</v>
      </c>
      <c r="BE314" s="32">
        <f t="shared" si="307"/>
        <v>1.5522335735521211</v>
      </c>
      <c r="BF314" s="59" t="str">
        <f t="shared" si="308"/>
        <v>-0.282908490022846+0.329595889185383i</v>
      </c>
      <c r="BG314" s="50">
        <f t="shared" si="309"/>
        <v>-7.2429562235234801</v>
      </c>
      <c r="BH314" s="61">
        <f t="shared" si="310"/>
        <v>130.64112783369052</v>
      </c>
      <c r="BI314" s="59" t="str">
        <f t="shared" si="311"/>
        <v>0.187408984961085+0.0709286511160944i</v>
      </c>
      <c r="BJ314" s="64">
        <f t="shared" si="312"/>
        <v>-13.962819882937861</v>
      </c>
      <c r="BK314" s="61">
        <f t="shared" si="313"/>
        <v>20.730143475878737</v>
      </c>
      <c r="BL314" s="59" t="str">
        <f t="shared" si="318"/>
        <v>0.889941701109346+0.658537087668171i</v>
      </c>
      <c r="BM314" s="64">
        <f t="shared" si="314"/>
        <v>0.8837260920086466</v>
      </c>
      <c r="BN314" s="61">
        <f t="shared" si="319"/>
        <v>36.500618614726179</v>
      </c>
      <c r="BO314" s="50">
        <f t="shared" si="315"/>
        <v>-13.962819882937861</v>
      </c>
      <c r="BP314" s="61">
        <f t="shared" si="316"/>
        <v>20.730143475878737</v>
      </c>
    </row>
    <row r="315" spans="14:68" x14ac:dyDescent="0.25">
      <c r="N315" s="11">
        <v>97</v>
      </c>
      <c r="O315" s="51">
        <f t="shared" si="317"/>
        <v>9332.5430079699217</v>
      </c>
      <c r="P315" s="49" t="str">
        <f t="shared" si="267"/>
        <v>37.1583961085025</v>
      </c>
      <c r="Q315" s="18" t="str">
        <f t="shared" si="268"/>
        <v>1+45.9611220795045i</v>
      </c>
      <c r="R315" s="18">
        <f t="shared" si="280"/>
        <v>45.971999551978548</v>
      </c>
      <c r="S315" s="18">
        <f t="shared" si="281"/>
        <v>1.5490422397966206</v>
      </c>
      <c r="T315" s="18" t="str">
        <f t="shared" si="269"/>
        <v>1+0.0527742873956683i</v>
      </c>
      <c r="U315" s="18">
        <f t="shared" si="282"/>
        <v>1.0013915944375209</v>
      </c>
      <c r="V315" s="18">
        <f t="shared" si="283"/>
        <v>5.2725374770090747E-2</v>
      </c>
      <c r="W315" s="32" t="str">
        <f t="shared" si="270"/>
        <v>1-0.461927718089977i</v>
      </c>
      <c r="X315" s="18">
        <f t="shared" si="284"/>
        <v>1.1015340288614843</v>
      </c>
      <c r="Y315" s="18">
        <f t="shared" si="285"/>
        <v>-0.43272862734245821</v>
      </c>
      <c r="Z315" s="32" t="str">
        <f t="shared" si="271"/>
        <v>0.99782259102511+0.111216924178279i</v>
      </c>
      <c r="AA315" s="18">
        <f t="shared" si="286"/>
        <v>1.0040015574608143</v>
      </c>
      <c r="AB315" s="18">
        <f t="shared" si="287"/>
        <v>0.11100146415501268</v>
      </c>
      <c r="AC315" s="32" t="str">
        <f>IMDIV(IMSUM(COMPLEX(0,2*PI()*O315*Constants!$B$61*Constants!$B$62),COMPLEX(1,0)),IMSUM(COMPLEX(0,2*PI()*O315*Constants!$B$61*Constants!$B$62),COMPLEX(2,0)))</f>
        <v>0.506783553860896+0.0578425477262562i</v>
      </c>
      <c r="AD315" s="18">
        <f t="shared" si="288"/>
        <v>0.51007384837035497</v>
      </c>
      <c r="AE315" s="18">
        <f t="shared" si="289"/>
        <v>0.11364480500422566</v>
      </c>
      <c r="AF315" s="66" t="str">
        <f t="shared" si="290"/>
        <v>-0.157703348077146-0.424625042372998i</v>
      </c>
      <c r="AG315" s="64">
        <f t="shared" si="291"/>
        <v>-6.8787180584306249</v>
      </c>
      <c r="AH315" s="61">
        <f t="shared" si="292"/>
        <v>-110.37471292700452</v>
      </c>
      <c r="AI315" s="50" t="str">
        <f t="shared" si="272"/>
        <v>107.538871525172</v>
      </c>
      <c r="AJ315" s="50" t="str">
        <f t="shared" si="273"/>
        <v>1+43.6929976814788i</v>
      </c>
      <c r="AK315" s="50">
        <f t="shared" si="293"/>
        <v>43.704439664566252</v>
      </c>
      <c r="AL315" s="50">
        <f t="shared" si="294"/>
        <v>1.5479133591900371</v>
      </c>
      <c r="AM315" s="50" t="str">
        <f t="shared" si="274"/>
        <v>1+0.0527742873956683i</v>
      </c>
      <c r="AN315" s="50">
        <f t="shared" si="295"/>
        <v>1.0013915944375209</v>
      </c>
      <c r="AO315" s="50">
        <f t="shared" si="296"/>
        <v>5.2725374770090747E-2</v>
      </c>
      <c r="AP315" s="50" t="str">
        <f t="shared" si="275"/>
        <v>1-0.15173522343554i</v>
      </c>
      <c r="AQ315" s="50">
        <f t="shared" si="297"/>
        <v>1.0114462803486073</v>
      </c>
      <c r="AR315" s="50">
        <f t="shared" si="298"/>
        <v>-0.15058655413458039</v>
      </c>
      <c r="AS315" s="59" t="str">
        <f t="shared" si="299"/>
        <v>-0.186687297546419-2.48521972794526i</v>
      </c>
      <c r="AT315" s="50">
        <f t="shared" si="300"/>
        <v>7.9317336315329632</v>
      </c>
      <c r="AU315" s="61">
        <f t="shared" si="301"/>
        <v>-94.295935089264901</v>
      </c>
      <c r="AV315" s="32" t="str">
        <f t="shared" si="276"/>
        <v>-0.0000333333333333333</v>
      </c>
      <c r="AW315" s="32" t="str">
        <f t="shared" si="277"/>
        <v>0.00281462866110231i</v>
      </c>
      <c r="AX315" s="32">
        <f t="shared" si="302"/>
        <v>2.8146286611023101E-3</v>
      </c>
      <c r="AY315" s="32">
        <f t="shared" si="303"/>
        <v>1.5707963267948966</v>
      </c>
      <c r="AZ315" s="32" t="str">
        <f t="shared" si="278"/>
        <v>1+1.14832940166501i</v>
      </c>
      <c r="BA315" s="32">
        <f t="shared" si="304"/>
        <v>1.5227148172682632</v>
      </c>
      <c r="BB315" s="32">
        <f t="shared" si="305"/>
        <v>0.85433283136896632</v>
      </c>
      <c r="BC315" s="32" t="str">
        <f t="shared" si="279"/>
        <v>1+55.1198112799203i</v>
      </c>
      <c r="BD315" s="32">
        <f t="shared" si="306"/>
        <v>55.128881682236482</v>
      </c>
      <c r="BE315" s="32">
        <f t="shared" si="307"/>
        <v>1.5526560196326005</v>
      </c>
      <c r="BF315" s="59" t="str">
        <f t="shared" si="308"/>
        <v>-0.275667034586276+0.328399449360709i</v>
      </c>
      <c r="BG315" s="50">
        <f t="shared" si="309"/>
        <v>-7.355635031432799</v>
      </c>
      <c r="BH315" s="61">
        <f t="shared" si="310"/>
        <v>130.01097142362588</v>
      </c>
      <c r="BI315" s="59" t="str">
        <f t="shared" si="311"/>
        <v>0.182920244408814+0.0652654335711612i</v>
      </c>
      <c r="BJ315" s="64">
        <f t="shared" si="312"/>
        <v>-14.234353089863438</v>
      </c>
      <c r="BK315" s="61">
        <f t="shared" si="313"/>
        <v>19.636258496621387</v>
      </c>
      <c r="BL315" s="59" t="str">
        <f t="shared" si="318"/>
        <v>0.867608323907141+0.623785146981099i</v>
      </c>
      <c r="BM315" s="64">
        <f t="shared" si="314"/>
        <v>0.57609860010016334</v>
      </c>
      <c r="BN315" s="61">
        <f t="shared" si="319"/>
        <v>35.715036334360981</v>
      </c>
      <c r="BO315" s="50">
        <f t="shared" si="315"/>
        <v>-14.234353089863438</v>
      </c>
      <c r="BP315" s="61">
        <f t="shared" si="316"/>
        <v>19.636258496621387</v>
      </c>
    </row>
    <row r="316" spans="14:68" x14ac:dyDescent="0.25">
      <c r="N316" s="11">
        <v>98</v>
      </c>
      <c r="O316" s="51">
        <f t="shared" si="317"/>
        <v>9549.9258602143691</v>
      </c>
      <c r="P316" s="49" t="str">
        <f t="shared" si="267"/>
        <v>37.1583961085025</v>
      </c>
      <c r="Q316" s="18" t="str">
        <f t="shared" si="268"/>
        <v>1+47.0316941413173i</v>
      </c>
      <c r="R316" s="18">
        <f t="shared" si="280"/>
        <v>47.042324068889499</v>
      </c>
      <c r="S316" s="18">
        <f t="shared" si="281"/>
        <v>1.5495372723512155</v>
      </c>
      <c r="T316" s="18" t="str">
        <f t="shared" si="269"/>
        <v>1+0.054003558464598i</v>
      </c>
      <c r="U316" s="18">
        <f t="shared" si="282"/>
        <v>1.0014571305487017</v>
      </c>
      <c r="V316" s="18">
        <f t="shared" si="283"/>
        <v>5.39511517597678E-2</v>
      </c>
      <c r="W316" s="32" t="str">
        <f t="shared" si="270"/>
        <v>1-0.472687396861714i</v>
      </c>
      <c r="X316" s="18">
        <f t="shared" si="284"/>
        <v>1.1060892256739072</v>
      </c>
      <c r="Y316" s="18">
        <f t="shared" si="285"/>
        <v>-0.44155976939948222</v>
      </c>
      <c r="Z316" s="32" t="str">
        <f t="shared" si="271"/>
        <v>0.99771997290161+0.113807499134653i</v>
      </c>
      <c r="AA316" s="18">
        <f t="shared" si="286"/>
        <v>1.0041898680957071</v>
      </c>
      <c r="AB316" s="18">
        <f t="shared" si="287"/>
        <v>0.11357667627760054</v>
      </c>
      <c r="AC316" s="32" t="str">
        <f>IMDIV(IMSUM(COMPLEX(0,2*PI()*O316*Constants!$B$61*Constants!$B$62),COMPLEX(1,0)),IMSUM(COMPLEX(0,2*PI()*O316*Constants!$B$61*Constants!$B$62),COMPLEX(2,0)))</f>
        <v>0.507098714000824+0.05915205203496i</v>
      </c>
      <c r="AD316" s="18">
        <f t="shared" si="288"/>
        <v>0.51053704175234538</v>
      </c>
      <c r="AE316" s="18">
        <f t="shared" si="289"/>
        <v>0.11612321325665304</v>
      </c>
      <c r="AF316" s="66" t="str">
        <f t="shared" si="290"/>
        <v>-0.158287207871514-0.415723756485429i</v>
      </c>
      <c r="AG316" s="64">
        <f t="shared" si="291"/>
        <v>-7.0359572386805098</v>
      </c>
      <c r="AH316" s="61">
        <f t="shared" si="292"/>
        <v>-110.84437797632029</v>
      </c>
      <c r="AI316" s="50" t="str">
        <f t="shared" si="272"/>
        <v>107.538871525172</v>
      </c>
      <c r="AJ316" s="50" t="str">
        <f t="shared" si="273"/>
        <v>1+44.7107383391965i</v>
      </c>
      <c r="AK316" s="50">
        <f t="shared" si="293"/>
        <v>44.721919936828478</v>
      </c>
      <c r="AL316" s="50">
        <f t="shared" si="294"/>
        <v>1.5484340634705083</v>
      </c>
      <c r="AM316" s="50" t="str">
        <f t="shared" si="274"/>
        <v>1+0.054003558464598i</v>
      </c>
      <c r="AN316" s="50">
        <f t="shared" si="295"/>
        <v>1.0014571305487017</v>
      </c>
      <c r="AO316" s="50">
        <f t="shared" si="296"/>
        <v>5.39511517597678E-2</v>
      </c>
      <c r="AP316" s="50" t="str">
        <f t="shared" si="275"/>
        <v>1-0.155269590823743i</v>
      </c>
      <c r="AQ316" s="50">
        <f t="shared" si="297"/>
        <v>1.0119825323762128</v>
      </c>
      <c r="AR316" s="50">
        <f t="shared" si="298"/>
        <v>-0.15403955523240564</v>
      </c>
      <c r="AS316" s="59" t="str">
        <f t="shared" si="299"/>
        <v>-0.189225708517886-2.42961370314175i</v>
      </c>
      <c r="AT316" s="50">
        <f t="shared" si="300"/>
        <v>7.7370082900355914</v>
      </c>
      <c r="AU316" s="61">
        <f t="shared" si="301"/>
        <v>-94.453379788337031</v>
      </c>
      <c r="AV316" s="32" t="str">
        <f t="shared" si="276"/>
        <v>-0.0000333333333333333</v>
      </c>
      <c r="AW316" s="32" t="str">
        <f t="shared" si="277"/>
        <v>0.00288018978477856i</v>
      </c>
      <c r="AX316" s="32">
        <f t="shared" si="302"/>
        <v>2.8801897847785599E-3</v>
      </c>
      <c r="AY316" s="32">
        <f t="shared" si="303"/>
        <v>1.5707963267948966</v>
      </c>
      <c r="AZ316" s="32" t="str">
        <f t="shared" si="278"/>
        <v>1+1.17507742955375i</v>
      </c>
      <c r="BA316" s="32">
        <f t="shared" si="304"/>
        <v>1.5429863788921301</v>
      </c>
      <c r="BB316" s="32">
        <f t="shared" si="305"/>
        <v>0.86571750232225242</v>
      </c>
      <c r="BC316" s="32" t="str">
        <f t="shared" si="279"/>
        <v>1+56.4037166185802i</v>
      </c>
      <c r="BD316" s="32">
        <f t="shared" si="306"/>
        <v>56.412580586152053</v>
      </c>
      <c r="BE316" s="32">
        <f t="shared" si="307"/>
        <v>1.5530688559234465</v>
      </c>
      <c r="BF316" s="59" t="str">
        <f t="shared" si="308"/>
        <v>-0.26847125786228+0.327047827019741i</v>
      </c>
      <c r="BG316" s="50">
        <f t="shared" si="309"/>
        <v>-7.4705697152645021</v>
      </c>
      <c r="BH316" s="61">
        <f t="shared" si="310"/>
        <v>129.38233160395268</v>
      </c>
      <c r="BI316" s="59" t="str">
        <f t="shared" si="311"/>
        <v>0.178457116999817+0.0598423924474746i</v>
      </c>
      <c r="BJ316" s="64">
        <f t="shared" si="312"/>
        <v>-14.506526953945013</v>
      </c>
      <c r="BK316" s="61">
        <f t="shared" si="313"/>
        <v>18.53795362763239</v>
      </c>
      <c r="BL316" s="59" t="str">
        <f t="shared" si="318"/>
        <v>0.845401546095573+0.590395590214852i</v>
      </c>
      <c r="BM316" s="64">
        <f t="shared" si="314"/>
        <v>0.26643857477108573</v>
      </c>
      <c r="BN316" s="61">
        <f t="shared" si="319"/>
        <v>34.92895181561564</v>
      </c>
      <c r="BO316" s="50">
        <f t="shared" si="315"/>
        <v>-14.506526953945013</v>
      </c>
      <c r="BP316" s="61">
        <f t="shared" si="316"/>
        <v>18.53795362763239</v>
      </c>
    </row>
    <row r="317" spans="14:68" x14ac:dyDescent="0.25">
      <c r="N317" s="11">
        <v>99</v>
      </c>
      <c r="O317" s="51">
        <f t="shared" si="317"/>
        <v>9772.3722095581161</v>
      </c>
      <c r="P317" s="49" t="str">
        <f t="shared" si="267"/>
        <v>37.1583961085025</v>
      </c>
      <c r="Q317" s="18" t="str">
        <f t="shared" si="268"/>
        <v>1+48.1272030299018i</v>
      </c>
      <c r="R317" s="18">
        <f t="shared" si="280"/>
        <v>48.137591043605291</v>
      </c>
      <c r="S317" s="18">
        <f t="shared" si="281"/>
        <v>1.550021046658963</v>
      </c>
      <c r="T317" s="18" t="str">
        <f t="shared" si="269"/>
        <v>1+0.0552614629350472i</v>
      </c>
      <c r="U317" s="18">
        <f t="shared" si="282"/>
        <v>1.0015257506852839</v>
      </c>
      <c r="V317" s="18">
        <f t="shared" si="283"/>
        <v>5.5205312758400425E-2</v>
      </c>
      <c r="W317" s="32" t="str">
        <f t="shared" si="270"/>
        <v>1-0.483697700748024i</v>
      </c>
      <c r="X317" s="18">
        <f t="shared" si="284"/>
        <v>1.1108390818246021</v>
      </c>
      <c r="Y317" s="18">
        <f t="shared" si="285"/>
        <v>-0.45052092060643062</v>
      </c>
      <c r="Z317" s="32" t="str">
        <f t="shared" si="271"/>
        <v>0.997612518534946+0.116458416333488i</v>
      </c>
      <c r="AA317" s="18">
        <f t="shared" si="286"/>
        <v>1.004387026933613</v>
      </c>
      <c r="AB317" s="18">
        <f t="shared" si="287"/>
        <v>0.11621113757745291</v>
      </c>
      <c r="AC317" s="32" t="str">
        <f>IMDIV(IMSUM(COMPLEX(0,2*PI()*O317*Constants!$B$61*Constants!$B$62),COMPLEX(1,0)),IMSUM(COMPLEX(0,2*PI()*O317*Constants!$B$61*Constants!$B$62),COMPLEX(2,0)))</f>
        <v>0.507428295781045+0.0604894066123307i</v>
      </c>
      <c r="AD317" s="18">
        <f t="shared" si="288"/>
        <v>0.51102098163536058</v>
      </c>
      <c r="AE317" s="18">
        <f t="shared" si="289"/>
        <v>0.1186478905920285</v>
      </c>
      <c r="AF317" s="66" t="str">
        <f t="shared" si="290"/>
        <v>-0.158861458009429-0.407039439091027i</v>
      </c>
      <c r="AG317" s="64">
        <f t="shared" si="291"/>
        <v>-7.1915296955465831</v>
      </c>
      <c r="AH317" s="61">
        <f t="shared" si="292"/>
        <v>-111.31996437189893</v>
      </c>
      <c r="AI317" s="50" t="str">
        <f t="shared" si="272"/>
        <v>107.538871525172</v>
      </c>
      <c r="AJ317" s="50" t="str">
        <f t="shared" si="273"/>
        <v>1+45.7521852221983i</v>
      </c>
      <c r="AK317" s="50">
        <f t="shared" si="293"/>
        <v>45.763112357075769</v>
      </c>
      <c r="AL317" s="50">
        <f t="shared" si="294"/>
        <v>1.5489429267941797</v>
      </c>
      <c r="AM317" s="50" t="str">
        <f t="shared" si="274"/>
        <v>1+0.0552614629350472i</v>
      </c>
      <c r="AN317" s="50">
        <f t="shared" si="295"/>
        <v>1.0015257506852839</v>
      </c>
      <c r="AO317" s="50">
        <f t="shared" si="296"/>
        <v>5.5205312758400425E-2</v>
      </c>
      <c r="AP317" s="50" t="str">
        <f t="shared" si="275"/>
        <v>1-0.158886284204236i</v>
      </c>
      <c r="AQ317" s="50">
        <f t="shared" si="297"/>
        <v>1.0125437527871224</v>
      </c>
      <c r="AR317" s="50">
        <f t="shared" si="298"/>
        <v>-0.15756915756886899</v>
      </c>
      <c r="AS317" s="59" t="str">
        <f t="shared" si="299"/>
        <v>-0.191649983851949-2.37529078226053i</v>
      </c>
      <c r="AT317" s="50">
        <f t="shared" si="300"/>
        <v>7.5425168041129078</v>
      </c>
      <c r="AU317" s="61">
        <f t="shared" si="301"/>
        <v>-94.612908694319728</v>
      </c>
      <c r="AV317" s="32" t="str">
        <f t="shared" si="276"/>
        <v>-0.0000333333333333333</v>
      </c>
      <c r="AW317" s="32" t="str">
        <f t="shared" si="277"/>
        <v>0.00294727802320251i</v>
      </c>
      <c r="AX317" s="32">
        <f t="shared" si="302"/>
        <v>2.94727802320251E-3</v>
      </c>
      <c r="AY317" s="32">
        <f t="shared" si="303"/>
        <v>1.5707963267948966</v>
      </c>
      <c r="AZ317" s="32" t="str">
        <f t="shared" si="278"/>
        <v>1+1.20244849904964i</v>
      </c>
      <c r="BA317" s="32">
        <f t="shared" si="304"/>
        <v>1.5639317097836249</v>
      </c>
      <c r="BB317" s="32">
        <f t="shared" si="305"/>
        <v>0.87706032655871391</v>
      </c>
      <c r="BC317" s="32" t="str">
        <f t="shared" si="279"/>
        <v>1+57.7175279543827i</v>
      </c>
      <c r="BD317" s="32">
        <f t="shared" si="306"/>
        <v>57.726190184048598</v>
      </c>
      <c r="BE317" s="32">
        <f t="shared" si="307"/>
        <v>1.5534723007527125</v>
      </c>
      <c r="BF317" s="59" t="str">
        <f t="shared" si="308"/>
        <v>-0.261328280789324+0.325543669685511i</v>
      </c>
      <c r="BG317" s="50">
        <f t="shared" si="309"/>
        <v>-7.5877449990163601</v>
      </c>
      <c r="BH317" s="61">
        <f t="shared" si="310"/>
        <v>128.75555133342806</v>
      </c>
      <c r="BI317" s="59" t="str">
        <f t="shared" si="311"/>
        <v>0.174024104413714+0.0546545748191286i</v>
      </c>
      <c r="BJ317" s="64">
        <f t="shared" si="312"/>
        <v>-14.779274694562968</v>
      </c>
      <c r="BK317" s="61">
        <f t="shared" si="313"/>
        <v>17.43558696152915</v>
      </c>
      <c r="BL317" s="59" t="str">
        <f t="shared" si="318"/>
        <v>0.823344438620592+0.55834021746454i</v>
      </c>
      <c r="BM317" s="64">
        <f t="shared" si="314"/>
        <v>-4.5228194903457905E-2</v>
      </c>
      <c r="BN317" s="61">
        <f t="shared" si="319"/>
        <v>34.14264263910831</v>
      </c>
      <c r="BO317" s="50">
        <f t="shared" si="315"/>
        <v>-14.779274694562968</v>
      </c>
      <c r="BP317" s="61">
        <f t="shared" si="316"/>
        <v>17.43558696152915</v>
      </c>
    </row>
    <row r="318" spans="14:68" x14ac:dyDescent="0.25">
      <c r="N318" s="11">
        <v>100</v>
      </c>
      <c r="O318" s="51">
        <f t="shared" si="317"/>
        <v>10000</v>
      </c>
      <c r="P318" s="49" t="str">
        <f t="shared" si="267"/>
        <v>37.1583961085025</v>
      </c>
      <c r="Q318" s="18" t="str">
        <f t="shared" si="268"/>
        <v>1+49.2482295985715i</v>
      </c>
      <c r="R318" s="18">
        <f t="shared" si="280"/>
        <v>49.258381201513451</v>
      </c>
      <c r="S318" s="18">
        <f t="shared" si="281"/>
        <v>1.5504938183171146</v>
      </c>
      <c r="T318" s="18" t="str">
        <f t="shared" si="269"/>
        <v>1+0.0565486677646164i</v>
      </c>
      <c r="U318" s="18">
        <f t="shared" si="282"/>
        <v>1.0015975997504951</v>
      </c>
      <c r="V318" s="18">
        <f t="shared" si="283"/>
        <v>5.6488506948251062E-2</v>
      </c>
      <c r="W318" s="32" t="str">
        <f t="shared" si="270"/>
        <v>1-0.494964467557766i</v>
      </c>
      <c r="X318" s="18">
        <f t="shared" si="284"/>
        <v>1.1157911203019779</v>
      </c>
      <c r="Y318" s="18">
        <f t="shared" si="285"/>
        <v>-0.45961107448604305</v>
      </c>
      <c r="Z318" s="32" t="str">
        <f t="shared" si="271"/>
        <v>0.9975+0.119171081326173i</v>
      </c>
      <c r="AA318" s="18">
        <f t="shared" si="286"/>
        <v>1.0045934484279944</v>
      </c>
      <c r="AB318" s="18">
        <f t="shared" si="287"/>
        <v>0.11890617611844054</v>
      </c>
      <c r="AC318" s="32" t="str">
        <f>IMDIV(IMSUM(COMPLEX(0,2*PI()*O318*Constants!$B$61*Constants!$B$62),COMPLEX(1,0)),IMSUM(COMPLEX(0,2*PI()*O318*Constants!$B$61*Constants!$B$62),COMPLEX(2,0)))</f>
        <v>0.507772938200751+0.0618550768498643i</v>
      </c>
      <c r="AD318" s="18">
        <f t="shared" si="288"/>
        <v>0.51152654603757008</v>
      </c>
      <c r="AE318" s="18">
        <f t="shared" si="289"/>
        <v>0.12121916524895973</v>
      </c>
      <c r="AF318" s="66" t="str">
        <f t="shared" si="290"/>
        <v>-0.159427260940306-0.398567351561109i</v>
      </c>
      <c r="AG318" s="64">
        <f t="shared" si="291"/>
        <v>-7.3453832843729483</v>
      </c>
      <c r="AH318" s="61">
        <f t="shared" si="292"/>
        <v>-111.80144918184919</v>
      </c>
      <c r="AI318" s="50" t="str">
        <f t="shared" si="272"/>
        <v>107.538871525172</v>
      </c>
      <c r="AJ318" s="50" t="str">
        <f t="shared" si="273"/>
        <v>1+46.8178905194065i</v>
      </c>
      <c r="AK318" s="50">
        <f t="shared" si="293"/>
        <v>46.828568979706525</v>
      </c>
      <c r="AL318" s="50">
        <f t="shared" si="294"/>
        <v>1.5494402179123887</v>
      </c>
      <c r="AM318" s="50" t="str">
        <f t="shared" si="274"/>
        <v>1+0.0565486677646164i</v>
      </c>
      <c r="AN318" s="50">
        <f t="shared" si="295"/>
        <v>1.0015975997504951</v>
      </c>
      <c r="AO318" s="50">
        <f t="shared" si="296"/>
        <v>5.6488506948251062E-2</v>
      </c>
      <c r="AP318" s="50" t="str">
        <f t="shared" si="275"/>
        <v>1-0.162587221195723i</v>
      </c>
      <c r="AQ318" s="50">
        <f t="shared" si="297"/>
        <v>1.0131310894924441</v>
      </c>
      <c r="AR318" s="50">
        <f t="shared" si="298"/>
        <v>-0.16117688062878138</v>
      </c>
      <c r="AS318" s="59" t="str">
        <f t="shared" si="299"/>
        <v>-0.193965250679096-2.32222250327976i</v>
      </c>
      <c r="AT318" s="50">
        <f t="shared" si="300"/>
        <v>7.3482701199038996</v>
      </c>
      <c r="AU318" s="61">
        <f t="shared" si="301"/>
        <v>-94.774587070193348</v>
      </c>
      <c r="AV318" s="32" t="str">
        <f t="shared" si="276"/>
        <v>-0.0000333333333333333</v>
      </c>
      <c r="AW318" s="32" t="str">
        <f t="shared" si="277"/>
        <v>0.0030159289474462i</v>
      </c>
      <c r="AX318" s="32">
        <f t="shared" si="302"/>
        <v>3.0159289474461998E-3</v>
      </c>
      <c r="AY318" s="32">
        <f t="shared" si="303"/>
        <v>1.5707963267948966</v>
      </c>
      <c r="AZ318" s="32" t="str">
        <f t="shared" si="278"/>
        <v>1+1.230457122656i</v>
      </c>
      <c r="BA318" s="32">
        <f t="shared" si="304"/>
        <v>1.5855676367455545</v>
      </c>
      <c r="BB318" s="32">
        <f t="shared" si="305"/>
        <v>0.8883556440870749</v>
      </c>
      <c r="BC318" s="32" t="str">
        <f t="shared" si="279"/>
        <v>1+59.0619418874883i</v>
      </c>
      <c r="BD318" s="32">
        <f t="shared" si="306"/>
        <v>59.070406969319635</v>
      </c>
      <c r="BE318" s="32">
        <f t="shared" si="307"/>
        <v>1.5538665675065433</v>
      </c>
      <c r="BF318" s="59" t="str">
        <f t="shared" si="308"/>
        <v>-0.254245009182575+0.323890009052044i</v>
      </c>
      <c r="BG318" s="50">
        <f t="shared" si="309"/>
        <v>-7.7071434053786181</v>
      </c>
      <c r="BH318" s="61">
        <f t="shared" si="310"/>
        <v>128.13096713178962</v>
      </c>
      <c r="BI318" s="59" t="str">
        <f t="shared" si="311"/>
        <v>0.169625568526698+0.0496968629684305i</v>
      </c>
      <c r="BJ318" s="64">
        <f t="shared" si="312"/>
        <v>-15.05252668975155</v>
      </c>
      <c r="BK318" s="61">
        <f t="shared" si="313"/>
        <v>16.329517949940406</v>
      </c>
      <c r="BL318" s="59" t="str">
        <f t="shared" si="318"/>
        <v>0.801459364548149+0.527590074872111i</v>
      </c>
      <c r="BM318" s="64">
        <f t="shared" si="314"/>
        <v>-0.35887328547471403</v>
      </c>
      <c r="BN318" s="61">
        <f t="shared" si="319"/>
        <v>33.356380061596283</v>
      </c>
      <c r="BO318" s="50">
        <f t="shared" si="315"/>
        <v>-15.05252668975155</v>
      </c>
      <c r="BP318" s="61">
        <f t="shared" si="316"/>
        <v>16.329517949940406</v>
      </c>
    </row>
    <row r="319" spans="14:68" x14ac:dyDescent="0.25">
      <c r="N319" s="11">
        <v>1</v>
      </c>
      <c r="O319" s="51">
        <f>10^(4+(N319/100))</f>
        <v>10232.929922807549</v>
      </c>
      <c r="P319" s="49" t="str">
        <f t="shared" si="267"/>
        <v>37.1583961085025</v>
      </c>
      <c r="Q319" s="18" t="str">
        <f t="shared" si="268"/>
        <v>1+50.3953682304518i</v>
      </c>
      <c r="R319" s="18">
        <f t="shared" si="280"/>
        <v>50.405288800708512</v>
      </c>
      <c r="S319" s="18">
        <f t="shared" si="281"/>
        <v>1.5509558371496115</v>
      </c>
      <c r="T319" s="18" t="str">
        <f t="shared" si="269"/>
        <v>1+0.0578658554463445i</v>
      </c>
      <c r="U319" s="18">
        <f t="shared" si="282"/>
        <v>1.0016728294341108</v>
      </c>
      <c r="V319" s="18">
        <f t="shared" si="283"/>
        <v>5.7801397783162366E-2</v>
      </c>
      <c r="W319" s="32" t="str">
        <f t="shared" si="270"/>
        <v>1-0.506493671079836i</v>
      </c>
      <c r="X319" s="18">
        <f t="shared" si="284"/>
        <v>1.1209530939535022</v>
      </c>
      <c r="Y319" s="18">
        <f t="shared" si="285"/>
        <v>-0.46882904076924375</v>
      </c>
      <c r="Z319" s="32" t="str">
        <f t="shared" si="271"/>
        <v>0.997382178629873+0.121946932403592i</v>
      </c>
      <c r="AA319" s="18">
        <f t="shared" si="286"/>
        <v>1.0048095663214589</v>
      </c>
      <c r="AB319" s="18">
        <f t="shared" si="287"/>
        <v>0.12166314724519703</v>
      </c>
      <c r="AC319" s="32" t="str">
        <f>IMDIV(IMSUM(COMPLEX(0,2*PI()*O319*Constants!$B$61*Constants!$B$62),COMPLEX(1,0)),IMSUM(COMPLEX(0,2*PI()*O319*Constants!$B$61*Constants!$B$62),COMPLEX(2,0)))</f>
        <v>0.508133306587895+0.0632495266219029i</v>
      </c>
      <c r="AD319" s="18">
        <f t="shared" si="288"/>
        <v>0.51205464540597856</v>
      </c>
      <c r="AE319" s="18">
        <f t="shared" si="289"/>
        <v>0.12383732743201645</v>
      </c>
      <c r="AF319" s="66" t="str">
        <f t="shared" si="290"/>
        <v>-0.159985756414305-0.390302852048418i</v>
      </c>
      <c r="AG319" s="64">
        <f t="shared" si="291"/>
        <v>-7.4974652891520819</v>
      </c>
      <c r="AH319" s="61">
        <f t="shared" si="292"/>
        <v>-112.28880153755891</v>
      </c>
      <c r="AI319" s="50" t="str">
        <f t="shared" si="272"/>
        <v>107.538871525172</v>
      </c>
      <c r="AJ319" s="50" t="str">
        <f t="shared" si="273"/>
        <v>1+47.9084192818762i</v>
      </c>
      <c r="AK319" s="50">
        <f t="shared" si="293"/>
        <v>47.918854724294569</v>
      </c>
      <c r="AL319" s="50">
        <f t="shared" si="294"/>
        <v>1.5499261995110705</v>
      </c>
      <c r="AM319" s="50" t="str">
        <f t="shared" si="274"/>
        <v>1+0.0578658554463445i</v>
      </c>
      <c r="AN319" s="50">
        <f t="shared" si="295"/>
        <v>1.0016728294341108</v>
      </c>
      <c r="AO319" s="50">
        <f t="shared" si="296"/>
        <v>5.7801397783162366E-2</v>
      </c>
      <c r="AP319" s="50" t="str">
        <f t="shared" si="275"/>
        <v>1-0.166374364083984i</v>
      </c>
      <c r="AQ319" s="50">
        <f t="shared" si="297"/>
        <v>1.0137457418033133</v>
      </c>
      <c r="AR319" s="50">
        <f t="shared" si="298"/>
        <v>-0.16486426142797819</v>
      </c>
      <c r="AS319" s="59" t="str">
        <f t="shared" si="299"/>
        <v>-0.196176406234032-2.27038104669943i</v>
      </c>
      <c r="AT319" s="50">
        <f t="shared" si="300"/>
        <v>7.1542796340529353</v>
      </c>
      <c r="AU319" s="61">
        <f t="shared" si="301"/>
        <v>-94.938480018168462</v>
      </c>
      <c r="AV319" s="32" t="str">
        <f t="shared" si="276"/>
        <v>-0.0000333333333333333</v>
      </c>
      <c r="AW319" s="32" t="str">
        <f t="shared" si="277"/>
        <v>0.00308617895713837i</v>
      </c>
      <c r="AX319" s="32">
        <f t="shared" si="302"/>
        <v>3.08617895713837E-3</v>
      </c>
      <c r="AY319" s="32">
        <f t="shared" si="303"/>
        <v>1.5707963267948966</v>
      </c>
      <c r="AZ319" s="32" t="str">
        <f t="shared" si="278"/>
        <v>1+1.25911815091583i</v>
      </c>
      <c r="BA319" s="32">
        <f t="shared" si="304"/>
        <v>1.6079112282603474</v>
      </c>
      <c r="BB319" s="32">
        <f t="shared" si="305"/>
        <v>0.8995979157345666</v>
      </c>
      <c r="BC319" s="32" t="str">
        <f t="shared" si="279"/>
        <v>1+60.4376712439599i</v>
      </c>
      <c r="BD319" s="32">
        <f t="shared" si="306"/>
        <v>60.44594366368166</v>
      </c>
      <c r="BE319" s="32">
        <f t="shared" si="307"/>
        <v>1.5542518647398107</v>
      </c>
      <c r="BF319" s="59" t="str">
        <f t="shared" si="308"/>
        <v>-0.247228108495184+0.322090241481798i</v>
      </c>
      <c r="BG319" s="50">
        <f t="shared" si="309"/>
        <v>-7.8287453273207035</v>
      </c>
      <c r="BH319" s="61">
        <f t="shared" si="310"/>
        <v>127.50890831957312</v>
      </c>
      <c r="BI319" s="59" t="str">
        <f t="shared" si="311"/>
        <v>0.165265715811789+0.0449639849350744i</v>
      </c>
      <c r="BJ319" s="64">
        <f t="shared" si="312"/>
        <v>-15.3262106164728</v>
      </c>
      <c r="BK319" s="61">
        <f t="shared" si="313"/>
        <v>15.220106782014224</v>
      </c>
      <c r="BL319" s="59" t="str">
        <f t="shared" si="318"/>
        <v>0.779767901431739+0.498115505681865i</v>
      </c>
      <c r="BM319" s="64">
        <f t="shared" si="314"/>
        <v>-0.67446569326776906</v>
      </c>
      <c r="BN319" s="61">
        <f t="shared" si="319"/>
        <v>32.570428301404633</v>
      </c>
      <c r="BO319" s="50">
        <f t="shared" si="315"/>
        <v>-15.3262106164728</v>
      </c>
      <c r="BP319" s="61">
        <f t="shared" si="316"/>
        <v>15.220106782014224</v>
      </c>
    </row>
    <row r="320" spans="14:68" x14ac:dyDescent="0.25">
      <c r="N320" s="11">
        <v>2</v>
      </c>
      <c r="O320" s="51">
        <f t="shared" ref="O320:O383" si="320">10^(4+(N320/100))</f>
        <v>10471.285480509003</v>
      </c>
      <c r="P320" s="49" t="str">
        <f t="shared" si="267"/>
        <v>37.1583961085025</v>
      </c>
      <c r="Q320" s="18" t="str">
        <f t="shared" si="268"/>
        <v>1+51.5692271536295i</v>
      </c>
      <c r="R320" s="18">
        <f t="shared" si="280"/>
        <v>51.578921947076779</v>
      </c>
      <c r="S320" s="18">
        <f t="shared" si="281"/>
        <v>1.5514073473355163</v>
      </c>
      <c r="T320" s="18" t="str">
        <f t="shared" si="269"/>
        <v>1+0.0592137243705754i</v>
      </c>
      <c r="U320" s="18">
        <f t="shared" si="282"/>
        <v>1.0017515985282153</v>
      </c>
      <c r="V320" s="18">
        <f t="shared" si="283"/>
        <v>5.9144663260934524E-2</v>
      </c>
      <c r="W320" s="32" t="str">
        <f t="shared" si="270"/>
        <v>1-0.51829142425055i</v>
      </c>
      <c r="X320" s="18">
        <f t="shared" si="284"/>
        <v>1.1263329882639785</v>
      </c>
      <c r="Y320" s="18">
        <f t="shared" si="285"/>
        <v>-0.47817343993595607</v>
      </c>
      <c r="Z320" s="32" t="str">
        <f t="shared" si="271"/>
        <v>0.997258804509642+0.124787441358731i</v>
      </c>
      <c r="AA320" s="18">
        <f t="shared" si="286"/>
        <v>1.0050358345317141</v>
      </c>
      <c r="AB320" s="18">
        <f t="shared" si="287"/>
        <v>0.12448343396532527</v>
      </c>
      <c r="AC320" s="32" t="str">
        <f>IMDIV(IMSUM(COMPLEX(0,2*PI()*O320*Constants!$B$61*Constants!$B$62),COMPLEX(1,0)),IMSUM(COMPLEX(0,2*PI()*O320*Constants!$B$61*Constants!$B$62),COMPLEX(2,0)))</f>
        <v>0.508510093494526+0.0646732174549666i</v>
      </c>
      <c r="AD320" s="18">
        <f t="shared" si="288"/>
        <v>0.51260622337403305</v>
      </c>
      <c r="AE320" s="18">
        <f t="shared" si="289"/>
        <v>0.12650262602294182</v>
      </c>
      <c r="AF320" s="66" t="str">
        <f t="shared" si="290"/>
        <v>-0.160538063430994-0.382241392471387i</v>
      </c>
      <c r="AG320" s="64">
        <f t="shared" si="291"/>
        <v>-7.6477224972742839</v>
      </c>
      <c r="AH320" s="61">
        <f t="shared" si="292"/>
        <v>-112.78198252299249</v>
      </c>
      <c r="AI320" s="50" t="str">
        <f t="shared" si="272"/>
        <v>107.538871525172</v>
      </c>
      <c r="AJ320" s="50" t="str">
        <f t="shared" si="273"/>
        <v>1+49.0243497223921i</v>
      </c>
      <c r="AK320" s="50">
        <f t="shared" si="293"/>
        <v>49.034547675117857</v>
      </c>
      <c r="AL320" s="50">
        <f t="shared" si="294"/>
        <v>1.5504011283453487</v>
      </c>
      <c r="AM320" s="50" t="str">
        <f t="shared" si="274"/>
        <v>1+0.0592137243705754i</v>
      </c>
      <c r="AN320" s="50">
        <f t="shared" si="295"/>
        <v>1.0017515985282153</v>
      </c>
      <c r="AO320" s="50">
        <f t="shared" si="296"/>
        <v>5.9144663260934524E-2</v>
      </c>
      <c r="AP320" s="50" t="str">
        <f t="shared" si="275"/>
        <v>1-0.170249720862308i</v>
      </c>
      <c r="AQ320" s="50">
        <f t="shared" si="297"/>
        <v>1.0143889626044309</v>
      </c>
      <c r="AR320" s="50">
        <f t="shared" si="298"/>
        <v>-0.16863285376947115</v>
      </c>
      <c r="AS320" s="59" t="str">
        <f t="shared" si="299"/>
        <v>-0.19828812812689-2.21973922230275i</v>
      </c>
      <c r="AT320" s="50">
        <f t="shared" si="300"/>
        <v>6.960557211590201</v>
      </c>
      <c r="AU320" s="61">
        <f t="shared" si="301"/>
        <v>-95.104652429172646</v>
      </c>
      <c r="AV320" s="32" t="str">
        <f t="shared" si="276"/>
        <v>-0.0000333333333333333</v>
      </c>
      <c r="AW320" s="32" t="str">
        <f t="shared" si="277"/>
        <v>0.00315806529976402i</v>
      </c>
      <c r="AX320" s="32">
        <f t="shared" si="302"/>
        <v>3.1580652997640199E-3</v>
      </c>
      <c r="AY320" s="32">
        <f t="shared" si="303"/>
        <v>1.5707963267948966</v>
      </c>
      <c r="AZ320" s="32" t="str">
        <f t="shared" si="278"/>
        <v>1+1.28844678028567i</v>
      </c>
      <c r="BA320" s="32">
        <f t="shared" si="304"/>
        <v>1.6309797992705213</v>
      </c>
      <c r="BB320" s="32">
        <f t="shared" si="305"/>
        <v>0.91078173579056898</v>
      </c>
      <c r="BC320" s="32" t="str">
        <f t="shared" si="279"/>
        <v>1+61.8454454537122i</v>
      </c>
      <c r="BD320" s="32">
        <f t="shared" si="306"/>
        <v>61.853529595069119</v>
      </c>
      <c r="BE320" s="32">
        <f t="shared" si="307"/>
        <v>1.5546283962843541</v>
      </c>
      <c r="BF320" s="59" t="str">
        <f t="shared" si="308"/>
        <v>-0.240283980594641+0.320148106615378i</v>
      </c>
      <c r="BG320" s="50">
        <f t="shared" si="309"/>
        <v>-7.9525291072514115</v>
      </c>
      <c r="BH320" s="61">
        <f t="shared" si="310"/>
        <v>126.88969629988623</v>
      </c>
      <c r="BI320" s="59" t="str">
        <f t="shared" si="311"/>
        <v>0.160948582987894+0.0404505262839311i</v>
      </c>
      <c r="BJ320" s="64">
        <f t="shared" si="312"/>
        <v>-15.600251604525713</v>
      </c>
      <c r="BK320" s="61">
        <f t="shared" si="313"/>
        <v>14.107713776893752</v>
      </c>
      <c r="BL320" s="59" t="str">
        <f t="shared" si="318"/>
        <v>0.758290769931106+0.469886207432826i</v>
      </c>
      <c r="BM320" s="64">
        <f t="shared" si="314"/>
        <v>-0.99197189566121224</v>
      </c>
      <c r="BN320" s="61">
        <f t="shared" si="319"/>
        <v>31.785043870713587</v>
      </c>
      <c r="BO320" s="50">
        <f t="shared" si="315"/>
        <v>-15.600251604525713</v>
      </c>
      <c r="BP320" s="61">
        <f t="shared" si="316"/>
        <v>14.107713776893752</v>
      </c>
    </row>
    <row r="321" spans="14:68" x14ac:dyDescent="0.25">
      <c r="N321" s="11">
        <v>3</v>
      </c>
      <c r="O321" s="51">
        <f t="shared" si="320"/>
        <v>10715.193052376071</v>
      </c>
      <c r="P321" s="49" t="str">
        <f t="shared" si="267"/>
        <v>37.1583961085025</v>
      </c>
      <c r="Q321" s="18" t="str">
        <f t="shared" si="268"/>
        <v>1+52.7704287636435i</v>
      </c>
      <c r="R321" s="18">
        <f t="shared" si="280"/>
        <v>52.779902916723643</v>
      </c>
      <c r="S321" s="18">
        <f t="shared" si="281"/>
        <v>1.5518485875347197</v>
      </c>
      <c r="T321" s="18" t="str">
        <f t="shared" si="269"/>
        <v>1+0.060592989195254i</v>
      </c>
      <c r="U321" s="18">
        <f t="shared" si="282"/>
        <v>1.0018340732574511</v>
      </c>
      <c r="V321" s="18">
        <f t="shared" si="283"/>
        <v>6.0518996197840708E-2</v>
      </c>
      <c r="W321" s="32" t="str">
        <f t="shared" si="270"/>
        <v>1-0.530363982394799i</v>
      </c>
      <c r="X321" s="18">
        <f t="shared" si="284"/>
        <v>1.1319390238973435</v>
      </c>
      <c r="Y321" s="18">
        <f t="shared" si="285"/>
        <v>-0.48764269815261524</v>
      </c>
      <c r="Z321" s="32" t="str">
        <f t="shared" si="271"/>
        <v>0.997129615946258+0.127694114267035i</v>
      </c>
      <c r="AA321" s="18">
        <f t="shared" si="286"/>
        <v>1.0052727280770997</v>
      </c>
      <c r="AB321" s="18">
        <f t="shared" si="287"/>
        <v>0.12736844732334499</v>
      </c>
      <c r="AC321" s="32" t="str">
        <f>IMDIV(IMSUM(COMPLEX(0,2*PI()*O321*Constants!$B$61*Constants!$B$62),COMPLEX(1,0)),IMSUM(COMPLEX(0,2*PI()*O321*Constants!$B$61*Constants!$B$62),COMPLEX(2,0)))</f>
        <v>0.508904019603795+0.0661266076310662i</v>
      </c>
      <c r="AD321" s="18">
        <f t="shared" si="288"/>
        <v>0.51318225749307889</v>
      </c>
      <c r="AE321" s="18">
        <f t="shared" si="289"/>
        <v>0.12921526513258833</v>
      </c>
      <c r="AF321" s="66" t="str">
        <f t="shared" si="290"/>
        <v>-0.161085282105655-0.374378515489115i</v>
      </c>
      <c r="AG321" s="64">
        <f t="shared" si="291"/>
        <v>-7.7961012803863046</v>
      </c>
      <c r="AH321" s="61">
        <f t="shared" si="292"/>
        <v>-113.2809450950906</v>
      </c>
      <c r="AI321" s="50" t="str">
        <f t="shared" si="272"/>
        <v>107.538871525172</v>
      </c>
      <c r="AJ321" s="50" t="str">
        <f t="shared" si="273"/>
        <v>1+50.1662735220448i</v>
      </c>
      <c r="AK321" s="50">
        <f t="shared" si="293"/>
        <v>50.176239387668474</v>
      </c>
      <c r="AL321" s="50">
        <f t="shared" si="294"/>
        <v>1.5508652553712969</v>
      </c>
      <c r="AM321" s="50" t="str">
        <f t="shared" si="274"/>
        <v>1+0.060592989195254i</v>
      </c>
      <c r="AN321" s="50">
        <f t="shared" si="295"/>
        <v>1.0018340732574511</v>
      </c>
      <c r="AO321" s="50">
        <f t="shared" si="296"/>
        <v>6.0518996197840708E-2</v>
      </c>
      <c r="AP321" s="50" t="str">
        <f t="shared" si="275"/>
        <v>1-0.174215346296154i</v>
      </c>
      <c r="AQ321" s="50">
        <f t="shared" si="297"/>
        <v>1.0150620606076699</v>
      </c>
      <c r="AR321" s="50">
        <f t="shared" si="298"/>
        <v>-0.17248422741416519</v>
      </c>
      <c r="AS321" s="59" t="str">
        <f t="shared" si="299"/>
        <v>-0.200304884158762-2.17027045615096i</v>
      </c>
      <c r="AT321" s="50">
        <f t="shared" si="300"/>
        <v>6.7671152042485492</v>
      </c>
      <c r="AU321" s="61">
        <f t="shared" si="301"/>
        <v>-95.273168927155737</v>
      </c>
      <c r="AV321" s="32" t="str">
        <f t="shared" si="276"/>
        <v>-0.0000333333333333333</v>
      </c>
      <c r="AW321" s="32" t="str">
        <f t="shared" si="277"/>
        <v>0.00323162609041354i</v>
      </c>
      <c r="AX321" s="32">
        <f t="shared" si="302"/>
        <v>3.23162609041354E-3</v>
      </c>
      <c r="AY321" s="32">
        <f t="shared" si="303"/>
        <v>1.5707963267948966</v>
      </c>
      <c r="AZ321" s="32" t="str">
        <f t="shared" si="278"/>
        <v>1+1.31845856119303i</v>
      </c>
      <c r="BA321" s="32">
        <f t="shared" si="304"/>
        <v>1.6547909165762287</v>
      </c>
      <c r="BB321" s="32">
        <f t="shared" si="305"/>
        <v>0.92190184385181162</v>
      </c>
      <c r="BC321" s="32" t="str">
        <f t="shared" si="279"/>
        <v>1+63.2860109372653i</v>
      </c>
      <c r="BD321" s="32">
        <f t="shared" si="306"/>
        <v>63.293911084334674</v>
      </c>
      <c r="BE321" s="32">
        <f t="shared" si="307"/>
        <v>1.5549963613548725</v>
      </c>
      <c r="BF321" s="59" t="str">
        <f t="shared" si="308"/>
        <v>-0.233418742707057+0.318067664327089i</v>
      </c>
      <c r="BG321" s="50">
        <f t="shared" si="309"/>
        <v>-8.07847112309903</v>
      </c>
      <c r="BH321" s="61">
        <f t="shared" si="310"/>
        <v>126.2736438857966</v>
      </c>
      <c r="BI321" s="59" t="str">
        <f t="shared" si="311"/>
        <v>0.156678024013579+0.0361509429451878i</v>
      </c>
      <c r="BJ321" s="64">
        <f t="shared" si="312"/>
        <v>-15.874572403485352</v>
      </c>
      <c r="BK321" s="61">
        <f t="shared" si="313"/>
        <v>12.992698790706012</v>
      </c>
      <c r="BL321" s="59" t="str">
        <f t="shared" si="318"/>
        <v>0.737047769164443+0.442871294551343i</v>
      </c>
      <c r="BM321" s="64">
        <f t="shared" si="314"/>
        <v>-1.3113559188504773</v>
      </c>
      <c r="BN321" s="61">
        <f t="shared" si="319"/>
        <v>31.000474958640869</v>
      </c>
      <c r="BO321" s="50">
        <f t="shared" si="315"/>
        <v>-15.874572403485352</v>
      </c>
      <c r="BP321" s="61">
        <f t="shared" si="316"/>
        <v>12.992698790706012</v>
      </c>
    </row>
    <row r="322" spans="14:68" x14ac:dyDescent="0.25">
      <c r="N322" s="11">
        <v>4</v>
      </c>
      <c r="O322" s="51">
        <f t="shared" si="320"/>
        <v>10964.781961431856</v>
      </c>
      <c r="P322" s="49" t="str">
        <f t="shared" si="267"/>
        <v>37.1583961085025</v>
      </c>
      <c r="Q322" s="18" t="str">
        <f t="shared" si="268"/>
        <v>1+53.9996099534871i</v>
      </c>
      <c r="R322" s="18">
        <f t="shared" si="280"/>
        <v>54.008868485913894</v>
      </c>
      <c r="S322" s="18">
        <f t="shared" si="281"/>
        <v>1.5522797910109707</v>
      </c>
      <c r="T322" s="18" t="str">
        <f t="shared" si="269"/>
        <v>1+0.0620043812248468i</v>
      </c>
      <c r="U322" s="18">
        <f t="shared" si="282"/>
        <v>1.0019204276244078</v>
      </c>
      <c r="V322" s="18">
        <f t="shared" si="283"/>
        <v>6.1925104505039345E-2</v>
      </c>
      <c r="W322" s="32" t="str">
        <f t="shared" si="270"/>
        <v>1-0.542717746542711i</v>
      </c>
      <c r="X322" s="18">
        <f t="shared" si="284"/>
        <v>1.1377796589904385</v>
      </c>
      <c r="Y322" s="18">
        <f t="shared" si="285"/>
        <v>-0.49723504266100049</v>
      </c>
      <c r="Z322" s="32" t="str">
        <f t="shared" si="271"/>
        <v>0.996994338913456+0.130668492284955i</v>
      </c>
      <c r="AA322" s="18">
        <f t="shared" si="286"/>
        <v>1.0055207440433553</v>
      </c>
      <c r="AB322" s="18">
        <f t="shared" si="287"/>
        <v>0.13031962676510356</v>
      </c>
      <c r="AC322" s="32" t="str">
        <f>IMDIV(IMSUM(COMPLEX(0,2*PI()*O322*Constants!$B$61*Constants!$B$62),COMPLEX(1,0)),IMSUM(COMPLEX(0,2*PI()*O322*Constants!$B$61*Constants!$B$62),COMPLEX(2,0)))</f>
        <v>0.509315834646649+0.0676101512212554i</v>
      </c>
      <c r="AD322" s="18">
        <f t="shared" si="288"/>
        <v>0.51378375993210779</v>
      </c>
      <c r="AE322" s="18">
        <f t="shared" si="289"/>
        <v>0.13197540049231909</v>
      </c>
      <c r="AF322" s="66" t="str">
        <f t="shared" si="290"/>
        <v>-0.161628495453791-0.366709851464597i</v>
      </c>
      <c r="AG322" s="64">
        <f t="shared" si="291"/>
        <v>-7.9425476813708871</v>
      </c>
      <c r="AH322" s="61">
        <f t="shared" si="292"/>
        <v>-113.78563403841746</v>
      </c>
      <c r="AI322" s="50" t="str">
        <f t="shared" si="272"/>
        <v>107.538871525172</v>
      </c>
      <c r="AJ322" s="50" t="str">
        <f t="shared" si="273"/>
        <v>1+51.334796143948i</v>
      </c>
      <c r="AK322" s="50">
        <f t="shared" si="293"/>
        <v>51.34453520230462</v>
      </c>
      <c r="AL322" s="50">
        <f t="shared" si="294"/>
        <v>1.5513188258749138</v>
      </c>
      <c r="AM322" s="50" t="str">
        <f t="shared" si="274"/>
        <v>1+0.0620043812248468i</v>
      </c>
      <c r="AN322" s="50">
        <f t="shared" si="295"/>
        <v>1.0019204276244078</v>
      </c>
      <c r="AO322" s="50">
        <f t="shared" si="296"/>
        <v>6.1925104505039345E-2</v>
      </c>
      <c r="AP322" s="50" t="str">
        <f t="shared" si="275"/>
        <v>1-0.178273343012619i</v>
      </c>
      <c r="AQ322" s="50">
        <f t="shared" si="297"/>
        <v>1.0157664026875937</v>
      </c>
      <c r="AR322" s="50">
        <f t="shared" si="298"/>
        <v>-0.17641996716087577</v>
      </c>
      <c r="AS322" s="59" t="str">
        <f t="shared" si="299"/>
        <v>-0.20223094170159-2.12194877781064i</v>
      </c>
      <c r="AT322" s="50">
        <f t="shared" si="300"/>
        <v>6.5739664692060344</v>
      </c>
      <c r="AU322" s="61">
        <f t="shared" si="301"/>
        <v>-95.444093807932248</v>
      </c>
      <c r="AV322" s="32" t="str">
        <f t="shared" si="276"/>
        <v>-0.0000333333333333333</v>
      </c>
      <c r="AW322" s="32" t="str">
        <f t="shared" si="277"/>
        <v>0.00330690033199183i</v>
      </c>
      <c r="AX322" s="32">
        <f t="shared" si="302"/>
        <v>3.3069003319918301E-3</v>
      </c>
      <c r="AY322" s="32">
        <f t="shared" si="303"/>
        <v>1.5707963267948966</v>
      </c>
      <c r="AZ322" s="32" t="str">
        <f t="shared" si="278"/>
        <v>1+1.34916940628139i</v>
      </c>
      <c r="BA322" s="32">
        <f t="shared" si="304"/>
        <v>1.6793624048565807</v>
      </c>
      <c r="BB322" s="32">
        <f t="shared" si="305"/>
        <v>0.93295313581377459</v>
      </c>
      <c r="BC322" s="32" t="str">
        <f t="shared" si="279"/>
        <v>1+64.7601315015068i</v>
      </c>
      <c r="BD322" s="32">
        <f t="shared" si="306"/>
        <v>64.767851840959295</v>
      </c>
      <c r="BE322" s="32">
        <f t="shared" si="307"/>
        <v>1.5553559546525131</v>
      </c>
      <c r="BF322" s="59" t="str">
        <f t="shared" si="308"/>
        <v>-0.22663820865261+0.315853270272192i</v>
      </c>
      <c r="BG322" s="50">
        <f t="shared" si="309"/>
        <v>-8.206545880612536</v>
      </c>
      <c r="BH322" s="61">
        <f t="shared" si="310"/>
        <v>125.66105467650527</v>
      </c>
      <c r="BI322" s="59" t="str">
        <f t="shared" si="311"/>
        <v>0.152457698502986+0.0320595749729469i</v>
      </c>
      <c r="BJ322" s="64">
        <f t="shared" si="312"/>
        <v>-16.149093561983449</v>
      </c>
      <c r="BK322" s="61">
        <f t="shared" si="313"/>
        <v>11.875420638087823</v>
      </c>
      <c r="BL322" s="59" t="str">
        <f t="shared" si="318"/>
        <v>0.71605771918295+0.417039365568926i</v>
      </c>
      <c r="BM322" s="64">
        <f t="shared" si="314"/>
        <v>-1.6325794114065069</v>
      </c>
      <c r="BN322" s="61">
        <f t="shared" si="319"/>
        <v>30.216960868573015</v>
      </c>
      <c r="BO322" s="50">
        <f t="shared" si="315"/>
        <v>-16.149093561983449</v>
      </c>
      <c r="BP322" s="61">
        <f t="shared" si="316"/>
        <v>11.875420638087823</v>
      </c>
    </row>
    <row r="323" spans="14:68" x14ac:dyDescent="0.25">
      <c r="N323" s="11">
        <v>5</v>
      </c>
      <c r="O323" s="51">
        <f t="shared" si="320"/>
        <v>11220.184543019639</v>
      </c>
      <c r="P323" s="49" t="str">
        <f t="shared" si="267"/>
        <v>37.1583961085025</v>
      </c>
      <c r="Q323" s="18" t="str">
        <f t="shared" si="268"/>
        <v>1+55.2574224512974i</v>
      </c>
      <c r="R323" s="18">
        <f t="shared" si="280"/>
        <v>55.266470268700409</v>
      </c>
      <c r="S323" s="18">
        <f t="shared" si="281"/>
        <v>1.5527011857522808</v>
      </c>
      <c r="T323" s="18" t="str">
        <f t="shared" si="269"/>
        <v>1+0.0634486487980901i</v>
      </c>
      <c r="U323" s="18">
        <f t="shared" si="282"/>
        <v>1.0020108437708164</v>
      </c>
      <c r="V323" s="18">
        <f t="shared" si="283"/>
        <v>6.3363711466619732E-2</v>
      </c>
      <c r="W323" s="32" t="str">
        <f t="shared" si="270"/>
        <v>1-0.555359266823558i</v>
      </c>
      <c r="X323" s="18">
        <f t="shared" si="284"/>
        <v>1.1438635911885646</v>
      </c>
      <c r="Y323" s="18">
        <f t="shared" si="285"/>
        <v>-0.5069484976736498</v>
      </c>
      <c r="Z323" s="32" t="str">
        <f t="shared" si="271"/>
        <v>0.996852686470515+0.133712152467086i</v>
      </c>
      <c r="AA323" s="18">
        <f t="shared" si="286"/>
        <v>1.0057804025933614</v>
      </c>
      <c r="AB323" s="18">
        <f t="shared" si="287"/>
        <v>0.13333844049122467</v>
      </c>
      <c r="AC323" s="32" t="str">
        <f>IMDIV(IMSUM(COMPLEX(0,2*PI()*O323*Constants!$B$61*Constants!$B$62),COMPLEX(1,0)),IMSUM(COMPLEX(0,2*PI()*O323*Constants!$B$61*Constants!$B$62),COMPLEX(2,0)))</f>
        <v>0.509746318325911+0.0691242970455777i</v>
      </c>
      <c r="AD323" s="18">
        <f t="shared" si="288"/>
        <v>0.51441177813971783</v>
      </c>
      <c r="AE323" s="18">
        <f t="shared" si="289"/>
        <v>0.1347831356844677</v>
      </c>
      <c r="AF323" s="66" t="str">
        <f t="shared" si="290"/>
        <v>-0.162168771093942-0.359231115413685i</v>
      </c>
      <c r="AG323" s="64">
        <f t="shared" si="291"/>
        <v>-8.087007507420223</v>
      </c>
      <c r="AH323" s="61">
        <f t="shared" si="292"/>
        <v>-114.29598595718427</v>
      </c>
      <c r="AI323" s="50" t="str">
        <f t="shared" si="272"/>
        <v>107.538871525172</v>
      </c>
      <c r="AJ323" s="50" t="str">
        <f t="shared" si="273"/>
        <v>1+52.530537154263i</v>
      </c>
      <c r="AK323" s="50">
        <f t="shared" si="293"/>
        <v>52.540054565211534</v>
      </c>
      <c r="AL323" s="50">
        <f t="shared" si="294"/>
        <v>1.5517620795983651</v>
      </c>
      <c r="AM323" s="50" t="str">
        <f t="shared" si="274"/>
        <v>1+0.0634486487980901i</v>
      </c>
      <c r="AN323" s="50">
        <f t="shared" si="295"/>
        <v>1.0020108437708164</v>
      </c>
      <c r="AO323" s="50">
        <f t="shared" si="296"/>
        <v>6.3363711466619732E-2</v>
      </c>
      <c r="AP323" s="50" t="str">
        <f t="shared" si="275"/>
        <v>1-0.182425862615276i</v>
      </c>
      <c r="AQ323" s="50">
        <f t="shared" si="297"/>
        <v>1.0165034163006672</v>
      </c>
      <c r="AR323" s="50">
        <f t="shared" si="298"/>
        <v>-0.18044167183016277</v>
      </c>
      <c r="AS323" s="59" t="str">
        <f t="shared" si="299"/>
        <v>-0.204070376661388-2.07474880781381i</v>
      </c>
      <c r="AT323" s="50">
        <f t="shared" si="300"/>
        <v>6.3811243882462723</v>
      </c>
      <c r="AU323" s="61">
        <f t="shared" si="301"/>
        <v>-95.617490972260995</v>
      </c>
      <c r="AV323" s="32" t="str">
        <f t="shared" si="276"/>
        <v>-0.0000333333333333333</v>
      </c>
      <c r="AW323" s="32" t="str">
        <f t="shared" si="277"/>
        <v>0.00338392793589814i</v>
      </c>
      <c r="AX323" s="32">
        <f t="shared" si="302"/>
        <v>3.3839279358981399E-3</v>
      </c>
      <c r="AY323" s="32">
        <f t="shared" si="303"/>
        <v>1.5707963267948966</v>
      </c>
      <c r="AZ323" s="32" t="str">
        <f t="shared" si="278"/>
        <v>1+1.38059559884733i</v>
      </c>
      <c r="BA323" s="32">
        <f t="shared" si="304"/>
        <v>1.7047123533184765</v>
      </c>
      <c r="BB323" s="32">
        <f t="shared" si="305"/>
        <v>0.94393067396212849</v>
      </c>
      <c r="BC323" s="32" t="str">
        <f t="shared" si="279"/>
        <v>1+66.268588744672i</v>
      </c>
      <c r="BD323" s="32">
        <f t="shared" si="306"/>
        <v>66.276133367981487</v>
      </c>
      <c r="BE323" s="32">
        <f t="shared" si="307"/>
        <v>1.5557073664662042</v>
      </c>
      <c r="BF323" s="59" t="str">
        <f t="shared" si="308"/>
        <v>-0.219947872464803+0.313509550279856i</v>
      </c>
      <c r="BG323" s="50">
        <f t="shared" si="309"/>
        <v>-8.336726111152867</v>
      </c>
      <c r="BH323" s="61">
        <f t="shared" si="310"/>
        <v>125.05222248495639</v>
      </c>
      <c r="BI323" s="59" t="str">
        <f t="shared" si="311"/>
        <v>0.14829106162222+0.0281706610632994i</v>
      </c>
      <c r="BJ323" s="64">
        <f t="shared" si="312"/>
        <v>-16.42373361857307</v>
      </c>
      <c r="BK323" s="61">
        <f t="shared" si="313"/>
        <v>10.756236527772074</v>
      </c>
      <c r="BL323" s="59" t="str">
        <f t="shared" si="318"/>
        <v>0.695338410861138+0.392358574164981i</v>
      </c>
      <c r="BM323" s="64">
        <f t="shared" si="314"/>
        <v>-1.9556017229065996</v>
      </c>
      <c r="BN323" s="61">
        <f t="shared" si="319"/>
        <v>29.434731512695375</v>
      </c>
      <c r="BO323" s="50">
        <f t="shared" si="315"/>
        <v>-16.42373361857307</v>
      </c>
      <c r="BP323" s="61">
        <f t="shared" si="316"/>
        <v>10.756236527772074</v>
      </c>
    </row>
    <row r="324" spans="14:68" x14ac:dyDescent="0.25">
      <c r="N324" s="11">
        <v>6</v>
      </c>
      <c r="O324" s="51">
        <f t="shared" si="320"/>
        <v>11481.536214968832</v>
      </c>
      <c r="P324" s="49" t="str">
        <f t="shared" si="267"/>
        <v>37.1583961085025</v>
      </c>
      <c r="Q324" s="18" t="str">
        <f t="shared" si="268"/>
        <v>1+56.5445331659099i</v>
      </c>
      <c r="R324" s="18">
        <f t="shared" si="280"/>
        <v>56.553375062419434</v>
      </c>
      <c r="S324" s="18">
        <f t="shared" si="281"/>
        <v>1.5531129945887479</v>
      </c>
      <c r="T324" s="18" t="str">
        <f t="shared" si="269"/>
        <v>1+0.0649265576847683i</v>
      </c>
      <c r="U324" s="18">
        <f t="shared" si="282"/>
        <v>1.0021055123552578</v>
      </c>
      <c r="V324" s="18">
        <f t="shared" si="283"/>
        <v>6.4835556018985316E-2</v>
      </c>
      <c r="W324" s="32" t="str">
        <f t="shared" si="270"/>
        <v>1-0.568295245938725i</v>
      </c>
      <c r="X324" s="18">
        <f t="shared" si="284"/>
        <v>1.1501997594142315</v>
      </c>
      <c r="Y324" s="18">
        <f t="shared" si="285"/>
        <v>-0.51678088083129325</v>
      </c>
      <c r="Z324" s="32" t="str">
        <f t="shared" si="271"/>
        <v>0.996704358153609+0.136826708602345i</v>
      </c>
      <c r="AA324" s="18">
        <f t="shared" si="286"/>
        <v>1.0060522480216167</v>
      </c>
      <c r="AB324" s="18">
        <f t="shared" si="287"/>
        <v>0.13642638579811117</v>
      </c>
      <c r="AC324" s="32" t="str">
        <f>IMDIV(IMSUM(COMPLEX(0,2*PI()*O324*Constants!$B$61*Constants!$B$62),COMPLEX(1,0)),IMSUM(COMPLEX(0,2*PI()*O324*Constants!$B$61*Constants!$B$62),COMPLEX(2,0)))</f>
        <v>0.510196281245159+0.0706694875554448i</v>
      </c>
      <c r="AD324" s="18">
        <f t="shared" si="288"/>
        <v>0.51506739546173808</v>
      </c>
      <c r="AE324" s="18">
        <f t="shared" si="289"/>
        <v>0.1376385182123516</v>
      </c>
      <c r="AF324" s="66" t="str">
        <f t="shared" si="290"/>
        <v>-0.162707162868526-0.351938103937297i</v>
      </c>
      <c r="AG324" s="64">
        <f t="shared" si="291"/>
        <v>-8.2294264291332073</v>
      </c>
      <c r="AH324" s="61">
        <f t="shared" si="292"/>
        <v>-114.81192930772733</v>
      </c>
      <c r="AI324" s="50" t="str">
        <f t="shared" si="272"/>
        <v>107.538871525172</v>
      </c>
      <c r="AJ324" s="50" t="str">
        <f t="shared" si="273"/>
        <v>1+53.7541305507012i</v>
      </c>
      <c r="AK324" s="50">
        <f t="shared" si="293"/>
        <v>53.763431356841686</v>
      </c>
      <c r="AL324" s="50">
        <f t="shared" si="294"/>
        <v>1.5521952508635406</v>
      </c>
      <c r="AM324" s="50" t="str">
        <f t="shared" si="274"/>
        <v>1+0.0649265576847683i</v>
      </c>
      <c r="AN324" s="50">
        <f t="shared" si="295"/>
        <v>1.0021055123552578</v>
      </c>
      <c r="AO324" s="50">
        <f t="shared" si="296"/>
        <v>6.4835556018985316E-2</v>
      </c>
      <c r="AP324" s="50" t="str">
        <f t="shared" si="275"/>
        <v>1-0.186675106824984i</v>
      </c>
      <c r="AQ324" s="50">
        <f t="shared" si="297"/>
        <v>1.0172745919898516</v>
      </c>
      <c r="AR324" s="50">
        <f t="shared" si="298"/>
        <v>-0.18455095314633599</v>
      </c>
      <c r="AS324" s="59" t="str">
        <f t="shared" si="299"/>
        <v>-0.20582708204313-2.02864574534938i</v>
      </c>
      <c r="AT324" s="50">
        <f t="shared" si="300"/>
        <v>6.1886028873204424</v>
      </c>
      <c r="AU324" s="61">
        <f t="shared" si="301"/>
        <v>-95.793423852860627</v>
      </c>
      <c r="AV324" s="32" t="str">
        <f t="shared" si="276"/>
        <v>-0.0000333333333333333</v>
      </c>
      <c r="AW324" s="32" t="str">
        <f t="shared" si="277"/>
        <v>0.00346274974318764i</v>
      </c>
      <c r="AX324" s="32">
        <f t="shared" si="302"/>
        <v>3.4627497431876401E-3</v>
      </c>
      <c r="AY324" s="32">
        <f t="shared" si="303"/>
        <v>1.5707963267948966</v>
      </c>
      <c r="AZ324" s="32" t="str">
        <f t="shared" si="278"/>
        <v>1+1.41275380147413i</v>
      </c>
      <c r="BA324" s="32">
        <f t="shared" si="304"/>
        <v>1.7308591229732146</v>
      </c>
      <c r="BB324" s="32">
        <f t="shared" si="305"/>
        <v>0.95482969612716873</v>
      </c>
      <c r="BC324" s="32" t="str">
        <f t="shared" si="279"/>
        <v>1+67.8121824707581i</v>
      </c>
      <c r="BD324" s="32">
        <f t="shared" si="306"/>
        <v>67.81955537636172</v>
      </c>
      <c r="BE324" s="32">
        <f t="shared" si="307"/>
        <v>1.5560507827717747</v>
      </c>
      <c r="BF324" s="59" t="str">
        <f t="shared" si="308"/>
        <v>-0.213352894455524+0.311041373849951i</v>
      </c>
      <c r="BG324" s="50">
        <f t="shared" si="309"/>
        <v>-8.4689828742177919</v>
      </c>
      <c r="BH324" s="61">
        <f t="shared" si="310"/>
        <v>124.44743081900513</v>
      </c>
      <c r="BI324" s="59" t="str">
        <f t="shared" si="311"/>
        <v>0.14418135550545+0.0244783536703573i</v>
      </c>
      <c r="BJ324" s="64">
        <f t="shared" si="312"/>
        <v>-16.698409303351006</v>
      </c>
      <c r="BK324" s="61">
        <f t="shared" si="313"/>
        <v>9.6355015112778215</v>
      </c>
      <c r="BL324" s="59" t="str">
        <f t="shared" si="318"/>
        <v>0.674906563399565+0.368796703220952i</v>
      </c>
      <c r="BM324" s="64">
        <f t="shared" si="314"/>
        <v>-2.280379986897358</v>
      </c>
      <c r="BN324" s="61">
        <f t="shared" si="319"/>
        <v>28.654006966144483</v>
      </c>
      <c r="BO324" s="50">
        <f t="shared" si="315"/>
        <v>-16.698409303351006</v>
      </c>
      <c r="BP324" s="61">
        <f t="shared" si="316"/>
        <v>9.6355015112778215</v>
      </c>
    </row>
    <row r="325" spans="14:68" x14ac:dyDescent="0.25">
      <c r="N325" s="11">
        <v>7</v>
      </c>
      <c r="O325" s="51">
        <f t="shared" si="320"/>
        <v>11748.975549395318</v>
      </c>
      <c r="P325" s="49" t="str">
        <f t="shared" si="267"/>
        <v>37.1583961085025</v>
      </c>
      <c r="Q325" s="18" t="str">
        <f t="shared" si="268"/>
        <v>1+57.8616245404623i</v>
      </c>
      <c r="R325" s="18">
        <f t="shared" si="280"/>
        <v>57.870265201236371</v>
      </c>
      <c r="S325" s="18">
        <f t="shared" si="281"/>
        <v>1.5535154353078497</v>
      </c>
      <c r="T325" s="18" t="str">
        <f t="shared" si="269"/>
        <v>1+0.0664388914917357i</v>
      </c>
      <c r="U325" s="18">
        <f t="shared" si="282"/>
        <v>1.0022046329481074</v>
      </c>
      <c r="V325" s="18">
        <f t="shared" si="283"/>
        <v>6.6341393031256732E-2</v>
      </c>
      <c r="W325" s="32" t="str">
        <f t="shared" si="270"/>
        <v>1-0.581532542715566i</v>
      </c>
      <c r="X325" s="18">
        <f t="shared" si="284"/>
        <v>1.1567973453622857</v>
      </c>
      <c r="Y325" s="18">
        <f t="shared" si="285"/>
        <v>-0.52672980027727867</v>
      </c>
      <c r="Z325" s="32" t="str">
        <f t="shared" si="271"/>
        <v>0.996549039338493+0.14001381206962i</v>
      </c>
      <c r="AA325" s="18">
        <f t="shared" si="286"/>
        <v>1.0063368498553256</v>
      </c>
      <c r="AB325" s="18">
        <f t="shared" si="287"/>
        <v>0.13958498940487371</v>
      </c>
      <c r="AC325" s="32" t="str">
        <f>IMDIV(IMSUM(COMPLEX(0,2*PI()*O325*Constants!$B$61*Constants!$B$62),COMPLEX(1,0)),IMSUM(COMPLEX(0,2*PI()*O325*Constants!$B$61*Constants!$B$62),COMPLEX(2,0)))</f>
        <v>0.510666565839478+0.072246157634376i</v>
      </c>
      <c r="AD325" s="18">
        <f t="shared" si="288"/>
        <v>0.51575173170743405</v>
      </c>
      <c r="AE325" s="18">
        <f t="shared" si="289"/>
        <v>0.14054153541136657</v>
      </c>
      <c r="AF325" s="66" t="str">
        <f t="shared" si="290"/>
        <v>-0.16324471238197-0.344826692134269i</v>
      </c>
      <c r="AG325" s="64">
        <f t="shared" si="291"/>
        <v>-8.3697500855247</v>
      </c>
      <c r="AH325" s="61">
        <f t="shared" si="292"/>
        <v>-115.3333844744337</v>
      </c>
      <c r="AI325" s="50" t="str">
        <f t="shared" si="272"/>
        <v>107.538871525172</v>
      </c>
      <c r="AJ325" s="50" t="str">
        <f t="shared" si="273"/>
        <v>1+55.0062250986774i</v>
      </c>
      <c r="AK325" s="50">
        <f t="shared" si="293"/>
        <v>55.015314228007163</v>
      </c>
      <c r="AL325" s="50">
        <f t="shared" si="294"/>
        <v>1.5526185686929728</v>
      </c>
      <c r="AM325" s="50" t="str">
        <f t="shared" si="274"/>
        <v>1+0.0664388914917357i</v>
      </c>
      <c r="AN325" s="50">
        <f t="shared" si="295"/>
        <v>1.0022046329481074</v>
      </c>
      <c r="AO325" s="50">
        <f t="shared" si="296"/>
        <v>6.6341393031256732E-2</v>
      </c>
      <c r="AP325" s="50" t="str">
        <f t="shared" si="275"/>
        <v>1-0.191023328647267i</v>
      </c>
      <c r="AQ325" s="50">
        <f t="shared" si="297"/>
        <v>1.0180814859761873</v>
      </c>
      <c r="AR325" s="50">
        <f t="shared" si="298"/>
        <v>-0.18874943451179441</v>
      </c>
      <c r="AS325" s="59" t="str">
        <f t="shared" si="299"/>
        <v>-0.207504776134764-1.98361535618501i</v>
      </c>
      <c r="AT325" s="50">
        <f t="shared" si="300"/>
        <v>5.9964164564942717</v>
      </c>
      <c r="AU325" s="61">
        <f t="shared" si="301"/>
        <v>-95.971955335047099</v>
      </c>
      <c r="AV325" s="32" t="str">
        <f t="shared" si="276"/>
        <v>-0.0000333333333333333</v>
      </c>
      <c r="AW325" s="32" t="str">
        <f t="shared" si="277"/>
        <v>0.0035434075462259i</v>
      </c>
      <c r="AX325" s="32">
        <f t="shared" si="302"/>
        <v>3.5434075462259002E-3</v>
      </c>
      <c r="AY325" s="32">
        <f t="shared" si="303"/>
        <v>1.5707963267948966</v>
      </c>
      <c r="AZ325" s="32" t="str">
        <f t="shared" si="278"/>
        <v>1+1.44566106486647i</v>
      </c>
      <c r="BA325" s="32">
        <f t="shared" si="304"/>
        <v>1.7578213545382977</v>
      </c>
      <c r="BB325" s="32">
        <f t="shared" si="305"/>
        <v>0.96564562387358277</v>
      </c>
      <c r="BC325" s="32" t="str">
        <f t="shared" si="279"/>
        <v>1+69.3917311135907i</v>
      </c>
      <c r="BD325" s="32">
        <f t="shared" si="306"/>
        <v>69.398936209000141</v>
      </c>
      <c r="BE325" s="32">
        <f t="shared" si="307"/>
        <v>1.5563863853289031</v>
      </c>
      <c r="BF325" s="59" t="str">
        <f t="shared" si="308"/>
        <v>-0.206858089757567+0.308453827011935i</v>
      </c>
      <c r="BG325" s="50">
        <f t="shared" si="309"/>
        <v>-8.6032856639302029</v>
      </c>
      <c r="BH325" s="61">
        <f t="shared" si="310"/>
        <v>123.8469524177344</v>
      </c>
      <c r="BI325" s="59" t="str">
        <f t="shared" si="311"/>
        <v>0.140131602211039+0.0209767345586343i</v>
      </c>
      <c r="BJ325" s="64">
        <f t="shared" si="312"/>
        <v>-16.973035749454922</v>
      </c>
      <c r="BK325" s="61">
        <f t="shared" si="313"/>
        <v>8.513567943300739</v>
      </c>
      <c r="BL325" s="59" t="str">
        <f t="shared" si="318"/>
        <v>0.654777789541718+0.346321241072184i</v>
      </c>
      <c r="BM325" s="64">
        <f t="shared" si="314"/>
        <v>-2.6068692074359294</v>
      </c>
      <c r="BN325" s="61">
        <f t="shared" si="319"/>
        <v>27.87499708268728</v>
      </c>
      <c r="BO325" s="50">
        <f t="shared" si="315"/>
        <v>-16.973035749454922</v>
      </c>
      <c r="BP325" s="61">
        <f t="shared" si="316"/>
        <v>8.513567943300739</v>
      </c>
    </row>
    <row r="326" spans="14:68" x14ac:dyDescent="0.25">
      <c r="N326" s="11">
        <v>8</v>
      </c>
      <c r="O326" s="51">
        <f t="shared" si="320"/>
        <v>12022.644346174151</v>
      </c>
      <c r="P326" s="49" t="str">
        <f t="shared" si="267"/>
        <v>37.1583961085025</v>
      </c>
      <c r="Q326" s="18" t="str">
        <f t="shared" si="268"/>
        <v>1+59.2093949142352i</v>
      </c>
      <c r="R326" s="18">
        <f t="shared" si="280"/>
        <v>59.217838917929633</v>
      </c>
      <c r="S326" s="18">
        <f t="shared" si="281"/>
        <v>1.5539087207672535</v>
      </c>
      <c r="T326" s="18" t="str">
        <f t="shared" si="269"/>
        <v>1+0.0679864520783945i</v>
      </c>
      <c r="U326" s="18">
        <f t="shared" si="282"/>
        <v>1.00230841444448</v>
      </c>
      <c r="V326" s="18">
        <f t="shared" si="283"/>
        <v>6.7881993586339451E-2</v>
      </c>
      <c r="W326" s="32" t="str">
        <f t="shared" si="270"/>
        <v>1-0.595078175744046i</v>
      </c>
      <c r="X326" s="18">
        <f t="shared" si="284"/>
        <v>1.163665774716633</v>
      </c>
      <c r="Y326" s="18">
        <f t="shared" si="285"/>
        <v>-0.53679265240292295</v>
      </c>
      <c r="Z326" s="32" t="str">
        <f t="shared" si="271"/>
        <v>0.996386400573135+0.143275152713357i</v>
      </c>
      <c r="AA326" s="18">
        <f t="shared" si="286"/>
        <v>1.0066348040039763</v>
      </c>
      <c r="AB326" s="18">
        <f t="shared" si="287"/>
        <v>0.14281580776447936</v>
      </c>
      <c r="AC326" s="32" t="str">
        <f>IMDIV(IMSUM(COMPLEX(0,2*PI()*O326*Constants!$B$61*Constants!$B$62),COMPLEX(1,0)),IMSUM(COMPLEX(0,2*PI()*O326*Constants!$B$61*Constants!$B$62),COMPLEX(2,0)))</f>
        <v>0.511158047304762+0.0738547333129413i</v>
      </c>
      <c r="AD326" s="18">
        <f t="shared" si="288"/>
        <v>0.51646594365663934</v>
      </c>
      <c r="AE326" s="18">
        <f t="shared" si="289"/>
        <v>0.1434921102038719</v>
      </c>
      <c r="AF326" s="66" t="str">
        <f t="shared" si="290"/>
        <v>-0.16378245045495-0.337892830492287i</v>
      </c>
      <c r="AG326" s="64">
        <f t="shared" si="291"/>
        <v>-8.5079241947891049</v>
      </c>
      <c r="AH326" s="61">
        <f t="shared" si="292"/>
        <v>-115.8602638919738</v>
      </c>
      <c r="AI326" s="50" t="str">
        <f t="shared" si="272"/>
        <v>107.538871525172</v>
      </c>
      <c r="AJ326" s="50" t="str">
        <f t="shared" si="273"/>
        <v>1+56.2874846752942i</v>
      </c>
      <c r="AK326" s="50">
        <f t="shared" si="293"/>
        <v>56.296366943804465</v>
      </c>
      <c r="AL326" s="50">
        <f t="shared" si="294"/>
        <v>1.5530322569281685</v>
      </c>
      <c r="AM326" s="50" t="str">
        <f t="shared" si="274"/>
        <v>1+0.0679864520783945i</v>
      </c>
      <c r="AN326" s="50">
        <f t="shared" si="295"/>
        <v>1.00230841444448</v>
      </c>
      <c r="AO326" s="50">
        <f t="shared" si="296"/>
        <v>6.7881993586339451E-2</v>
      </c>
      <c r="AP326" s="50" t="str">
        <f t="shared" si="275"/>
        <v>1-0.195472833566892i</v>
      </c>
      <c r="AQ326" s="50">
        <f t="shared" si="297"/>
        <v>1.0189257228388484</v>
      </c>
      <c r="AR326" s="50">
        <f t="shared" si="298"/>
        <v>-0.19303874966771487</v>
      </c>
      <c r="AS326" s="59" t="str">
        <f t="shared" si="299"/>
        <v>-0.209107010327085-1.93963396081824i</v>
      </c>
      <c r="AT326" s="50">
        <f t="shared" si="300"/>
        <v>5.8045801702601612</v>
      </c>
      <c r="AU326" s="61">
        <f t="shared" si="301"/>
        <v>-96.153147670672084</v>
      </c>
      <c r="AV326" s="32" t="str">
        <f t="shared" si="276"/>
        <v>-0.0000333333333333333</v>
      </c>
      <c r="AW326" s="32" t="str">
        <f t="shared" si="277"/>
        <v>0.0036259441108477i</v>
      </c>
      <c r="AX326" s="32">
        <f t="shared" si="302"/>
        <v>3.6259441108476998E-3</v>
      </c>
      <c r="AY326" s="32">
        <f t="shared" si="303"/>
        <v>1.5707963267948966</v>
      </c>
      <c r="AZ326" s="32" t="str">
        <f t="shared" si="278"/>
        <v>1+1.47933483689099i</v>
      </c>
      <c r="BA326" s="32">
        <f t="shared" si="304"/>
        <v>1.785617976959039</v>
      </c>
      <c r="BB326" s="32">
        <f t="shared" si="305"/>
        <v>0.97637406970714558</v>
      </c>
      <c r="BC326" s="32" t="str">
        <f t="shared" si="279"/>
        <v>1+71.0080721707676i</v>
      </c>
      <c r="BD326" s="32">
        <f t="shared" si="306"/>
        <v>71.015113274632895</v>
      </c>
      <c r="BE326" s="32">
        <f t="shared" si="307"/>
        <v>1.5567143517759452</v>
      </c>
      <c r="BF326" s="59" t="str">
        <f t="shared" si="308"/>
        <v>-0.200467919346856+0.305752184800507i</v>
      </c>
      <c r="BG326" s="50">
        <f t="shared" si="309"/>
        <v>-8.7396025187140083</v>
      </c>
      <c r="BH326" s="61">
        <f t="shared" si="310"/>
        <v>123.25104884397389</v>
      </c>
      <c r="BI326" s="59" t="str">
        <f t="shared" si="311"/>
        <v>0.136144598219677+0.0176598306324269i</v>
      </c>
      <c r="BJ326" s="64">
        <f t="shared" si="312"/>
        <v>-17.247526713503145</v>
      </c>
      <c r="BK326" s="61">
        <f t="shared" si="313"/>
        <v>7.3907849520000832</v>
      </c>
      <c r="BL326" s="59" t="str">
        <f t="shared" si="318"/>
        <v>0.63496656851455+0.324899459155125i</v>
      </c>
      <c r="BM326" s="64">
        <f t="shared" si="314"/>
        <v>-2.9350223484538525</v>
      </c>
      <c r="BN326" s="61">
        <f t="shared" si="319"/>
        <v>27.097901173301789</v>
      </c>
      <c r="BO326" s="50">
        <f t="shared" si="315"/>
        <v>-17.247526713503145</v>
      </c>
      <c r="BP326" s="61">
        <f t="shared" si="316"/>
        <v>7.3907849520000832</v>
      </c>
    </row>
    <row r="327" spans="14:68" x14ac:dyDescent="0.25">
      <c r="N327" s="11">
        <v>9</v>
      </c>
      <c r="O327" s="51">
        <f t="shared" si="320"/>
        <v>12302.687708123816</v>
      </c>
      <c r="P327" s="49" t="str">
        <f t="shared" si="267"/>
        <v>37.1583961085025</v>
      </c>
      <c r="Q327" s="18" t="str">
        <f t="shared" si="268"/>
        <v>1+60.5885588929205i</v>
      </c>
      <c r="R327" s="18">
        <f t="shared" si="280"/>
        <v>60.596810714103562</v>
      </c>
      <c r="S327" s="18">
        <f t="shared" si="281"/>
        <v>1.5542930590051898</v>
      </c>
      <c r="T327" s="18" t="str">
        <f t="shared" si="269"/>
        <v>1+0.0695700599818523i</v>
      </c>
      <c r="U327" s="18">
        <f t="shared" si="282"/>
        <v>1.0024170754959627</v>
      </c>
      <c r="V327" s="18">
        <f t="shared" si="283"/>
        <v>6.9458145262274146E-2</v>
      </c>
      <c r="W327" s="32" t="str">
        <f t="shared" si="270"/>
        <v>1-0.608939327098097i</v>
      </c>
      <c r="X327" s="18">
        <f t="shared" si="284"/>
        <v>1.1708147180859503</v>
      </c>
      <c r="Y327" s="18">
        <f t="shared" si="285"/>
        <v>-0.54696662031596488</v>
      </c>
      <c r="Z327" s="32" t="str">
        <f t="shared" si="271"/>
        <v>0.996216096878909+0.146612459739533i</v>
      </c>
      <c r="AA327" s="18">
        <f t="shared" si="286"/>
        <v>1.0069467339594105</v>
      </c>
      <c r="AB327" s="18">
        <f t="shared" si="287"/>
        <v>0.14612042735725544</v>
      </c>
      <c r="AC327" s="32" t="str">
        <f>IMDIV(IMSUM(COMPLEX(0,2*PI()*O327*Constants!$B$61*Constants!$B$62),COMPLEX(1,0)),IMSUM(COMPLEX(0,2*PI()*O327*Constants!$B$61*Constants!$B$62),COMPLEX(2,0)))</f>
        <v>0.511671634521901+0.0754956303936694i</v>
      </c>
      <c r="AD327" s="18">
        <f t="shared" si="288"/>
        <v>0.51721122549965148</v>
      </c>
      <c r="AE327" s="18">
        <f t="shared" si="289"/>
        <v>0.14649009670184893</v>
      </c>
      <c r="AF327" s="66" t="str">
        <f t="shared" si="290"/>
        <v>-0.164321398493082-0.331132541754359i</v>
      </c>
      <c r="AG327" s="64">
        <f t="shared" si="291"/>
        <v>-8.6438946706142037</v>
      </c>
      <c r="AH327" s="61">
        <f t="shared" si="292"/>
        <v>-116.39247221651944</v>
      </c>
      <c r="AI327" s="50" t="str">
        <f t="shared" si="272"/>
        <v>107.538871525172</v>
      </c>
      <c r="AJ327" s="50" t="str">
        <f t="shared" si="273"/>
        <v>1+57.5985886213389i</v>
      </c>
      <c r="AK327" s="50">
        <f t="shared" si="293"/>
        <v>57.607268735553077</v>
      </c>
      <c r="AL327" s="50">
        <f t="shared" si="294"/>
        <v>1.5534365343453991</v>
      </c>
      <c r="AM327" s="50" t="str">
        <f t="shared" si="274"/>
        <v>1+0.0695700599818523i</v>
      </c>
      <c r="AN327" s="50">
        <f t="shared" si="295"/>
        <v>1.0024170754959627</v>
      </c>
      <c r="AO327" s="50">
        <f t="shared" si="296"/>
        <v>6.9458145262274146E-2</v>
      </c>
      <c r="AP327" s="50" t="str">
        <f t="shared" si="275"/>
        <v>1-0.200025980770263i</v>
      </c>
      <c r="AQ327" s="50">
        <f t="shared" si="297"/>
        <v>1.0198089982850247</v>
      </c>
      <c r="AR327" s="50">
        <f t="shared" si="298"/>
        <v>-0.1974205412349293</v>
      </c>
      <c r="AS327" s="59" t="str">
        <f t="shared" si="299"/>
        <v>-0.210637176585488-1.89667842285504i</v>
      </c>
      <c r="AT327" s="50">
        <f t="shared" si="300"/>
        <v>5.6131097081886603</v>
      </c>
      <c r="AU327" s="61">
        <f t="shared" si="301"/>
        <v>-96.337062385035665</v>
      </c>
      <c r="AV327" s="32" t="str">
        <f t="shared" si="276"/>
        <v>-0.0000333333333333333</v>
      </c>
      <c r="AW327" s="32" t="str">
        <f t="shared" si="277"/>
        <v>0.00371040319903212i</v>
      </c>
      <c r="AX327" s="32">
        <f t="shared" si="302"/>
        <v>3.7104031990321199E-3</v>
      </c>
      <c r="AY327" s="32">
        <f t="shared" si="303"/>
        <v>1.5707963267948966</v>
      </c>
      <c r="AZ327" s="32" t="str">
        <f t="shared" si="278"/>
        <v>1+1.51379297182734i</v>
      </c>
      <c r="BA327" s="32">
        <f t="shared" si="304"/>
        <v>1.8142682165418238</v>
      </c>
      <c r="BB327" s="32">
        <f t="shared" si="305"/>
        <v>0.98701084328891386</v>
      </c>
      <c r="BC327" s="32" t="str">
        <f t="shared" si="279"/>
        <v>1+72.6620626477125i</v>
      </c>
      <c r="BD327" s="32">
        <f t="shared" si="306"/>
        <v>72.668943491839059</v>
      </c>
      <c r="BE327" s="32">
        <f t="shared" si="307"/>
        <v>1.5570348557226767</v>
      </c>
      <c r="BF327" s="59" t="str">
        <f t="shared" si="308"/>
        <v>-0.194186483518701+0.302941883595548i</v>
      </c>
      <c r="BG327" s="50">
        <f t="shared" si="309"/>
        <v>-8.8779001333849052</v>
      </c>
      <c r="BH327" s="61">
        <f t="shared" si="310"/>
        <v>122.65997013356741</v>
      </c>
      <c r="BI327" s="59" t="str">
        <f t="shared" si="311"/>
        <v>0.132222910459094+0.0145216298873395i</v>
      </c>
      <c r="BJ327" s="64">
        <f t="shared" si="312"/>
        <v>-17.521794803999089</v>
      </c>
      <c r="BK327" s="61">
        <f t="shared" si="313"/>
        <v>6.2674979170479705</v>
      </c>
      <c r="BL327" s="59" t="str">
        <f t="shared" si="318"/>
        <v>0.615486226614183+0.30449849026996i</v>
      </c>
      <c r="BM327" s="64">
        <f t="shared" si="314"/>
        <v>-3.2647904251962441</v>
      </c>
      <c r="BN327" s="61">
        <f t="shared" si="319"/>
        <v>26.322907748531708</v>
      </c>
      <c r="BO327" s="50">
        <f t="shared" si="315"/>
        <v>-17.521794803999089</v>
      </c>
      <c r="BP327" s="61">
        <f t="shared" si="316"/>
        <v>6.2674979170479705</v>
      </c>
    </row>
    <row r="328" spans="14:68" x14ac:dyDescent="0.25">
      <c r="N328" s="11">
        <v>10</v>
      </c>
      <c r="O328" s="51">
        <f t="shared" si="320"/>
        <v>12589.254117941671</v>
      </c>
      <c r="P328" s="49" t="str">
        <f t="shared" si="267"/>
        <v>37.1583961085025</v>
      </c>
      <c r="Q328" s="18" t="str">
        <f t="shared" si="268"/>
        <v>1+61.9998477275153i</v>
      </c>
      <c r="R328" s="18">
        <f t="shared" si="280"/>
        <v>62.007911739027982</v>
      </c>
      <c r="S328" s="18">
        <f t="shared" si="281"/>
        <v>1.5546686533484364</v>
      </c>
      <c r="T328" s="18" t="str">
        <f t="shared" si="269"/>
        <v>1+0.0711905548519811i</v>
      </c>
      <c r="U328" s="18">
        <f t="shared" si="282"/>
        <v>1.0025308449619557</v>
      </c>
      <c r="V328" s="18">
        <f t="shared" si="283"/>
        <v>7.1070652413445581E-2</v>
      </c>
      <c r="W328" s="32" t="str">
        <f t="shared" si="270"/>
        <v>1-0.62312334614364i</v>
      </c>
      <c r="X328" s="18">
        <f t="shared" si="284"/>
        <v>1.1782540916581816</v>
      </c>
      <c r="Y328" s="18">
        <f t="shared" si="285"/>
        <v>-0.55724867308183601</v>
      </c>
      <c r="Z328" s="32" t="str">
        <f t="shared" si="271"/>
        <v>0.996037767018847+0.150027502632508i</v>
      </c>
      <c r="AA328" s="18">
        <f t="shared" si="286"/>
        <v>1.0072732920484084</v>
      </c>
      <c r="AB328" s="18">
        <f t="shared" si="287"/>
        <v>0.14950046496479999</v>
      </c>
      <c r="AC328" s="32" t="str">
        <f>IMDIV(IMSUM(COMPLEX(0,2*PI()*O328*Constants!$B$61*Constants!$B$62),COMPLEX(1,0)),IMSUM(COMPLEX(0,2*PI()*O328*Constants!$B$61*Constants!$B$62),COMPLEX(2,0)))</f>
        <v>0.512208270971721+0.0771692529816231i</v>
      </c>
      <c r="AD328" s="18">
        <f t="shared" si="288"/>
        <v>0.51798880920110779</v>
      </c>
      <c r="AE328" s="18">
        <f t="shared" si="289"/>
        <v>0.14953527566276453</v>
      </c>
      <c r="AF328" s="66" t="str">
        <f t="shared" si="290"/>
        <v>-0.164862569767922-0.32454191775832i</v>
      </c>
      <c r="AG328" s="64">
        <f t="shared" si="291"/>
        <v>-8.7776077437946149</v>
      </c>
      <c r="AH328" s="61">
        <f t="shared" si="292"/>
        <v>-116.92990654840021</v>
      </c>
      <c r="AI328" s="50" t="str">
        <f t="shared" si="272"/>
        <v>107.538871525172</v>
      </c>
      <c r="AJ328" s="50" t="str">
        <f t="shared" si="273"/>
        <v>1+58.940232101478i</v>
      </c>
      <c r="AK328" s="50">
        <f t="shared" si="293"/>
        <v>58.948714660933</v>
      </c>
      <c r="AL328" s="50">
        <f t="shared" si="294"/>
        <v>1.5538316147689972</v>
      </c>
      <c r="AM328" s="50" t="str">
        <f t="shared" si="274"/>
        <v>1+0.0711905548519811i</v>
      </c>
      <c r="AN328" s="50">
        <f t="shared" si="295"/>
        <v>1.0025308449619557</v>
      </c>
      <c r="AO328" s="50">
        <f t="shared" si="296"/>
        <v>7.1070652413445581E-2</v>
      </c>
      <c r="AP328" s="50" t="str">
        <f t="shared" si="275"/>
        <v>1-0.204685184396294i</v>
      </c>
      <c r="AQ328" s="50">
        <f t="shared" si="297"/>
        <v>1.0207330820108385</v>
      </c>
      <c r="AR328" s="50">
        <f t="shared" si="298"/>
        <v>-0.20189645912872822</v>
      </c>
      <c r="AS328" s="59" t="str">
        <f t="shared" si="299"/>
        <v>-0.212098514588961-1.85472613761424i</v>
      </c>
      <c r="AT328" s="50">
        <f t="shared" si="300"/>
        <v>5.4220213758915001</v>
      </c>
      <c r="AU328" s="61">
        <f t="shared" si="301"/>
        <v>-96.523760176441115</v>
      </c>
      <c r="AV328" s="32" t="str">
        <f t="shared" si="276"/>
        <v>-0.0000333333333333333</v>
      </c>
      <c r="AW328" s="32" t="str">
        <f t="shared" si="277"/>
        <v>0.00379682959210566i</v>
      </c>
      <c r="AX328" s="32">
        <f t="shared" si="302"/>
        <v>3.7968295921056599E-3</v>
      </c>
      <c r="AY328" s="32">
        <f t="shared" si="303"/>
        <v>1.5707963267948966</v>
      </c>
      <c r="AZ328" s="32" t="str">
        <f t="shared" si="278"/>
        <v>1+1.54905373983477i</v>
      </c>
      <c r="BA328" s="32">
        <f t="shared" si="304"/>
        <v>1.8437916066888056</v>
      </c>
      <c r="BB328" s="32">
        <f t="shared" si="305"/>
        <v>0.99755195665633689</v>
      </c>
      <c r="BC328" s="32" t="str">
        <f t="shared" si="279"/>
        <v>1+74.3545795120693i</v>
      </c>
      <c r="BD328" s="32">
        <f t="shared" si="306"/>
        <v>74.361303743389513</v>
      </c>
      <c r="BE328" s="32">
        <f t="shared" si="307"/>
        <v>1.5573480668409971</v>
      </c>
      <c r="BF328" s="59" t="str">
        <f t="shared" si="308"/>
        <v>-0.188017517766149+0.300028493563563i</v>
      </c>
      <c r="BG328" s="50">
        <f t="shared" si="309"/>
        <v>-9.0181439728967376</v>
      </c>
      <c r="BH328" s="61">
        <f t="shared" si="310"/>
        <v>122.0739545014215</v>
      </c>
      <c r="BI328" s="59" t="str">
        <f t="shared" si="311"/>
        <v>0.128368873823572+0.0115560973354976i</v>
      </c>
      <c r="BJ328" s="64">
        <f t="shared" si="312"/>
        <v>-17.795751716691335</v>
      </c>
      <c r="BK328" s="61">
        <f t="shared" si="313"/>
        <v>5.1440479530212917</v>
      </c>
      <c r="BL328" s="59" t="str">
        <f t="shared" si="318"/>
        <v>0.59634892527627+0.285085406711031i</v>
      </c>
      <c r="BM328" s="64">
        <f t="shared" si="314"/>
        <v>-3.596122597005238</v>
      </c>
      <c r="BN328" s="61">
        <f t="shared" si="319"/>
        <v>25.550194324980374</v>
      </c>
      <c r="BO328" s="50">
        <f t="shared" si="315"/>
        <v>-17.795751716691335</v>
      </c>
      <c r="BP328" s="61">
        <f t="shared" si="316"/>
        <v>5.1440479530212917</v>
      </c>
    </row>
    <row r="329" spans="14:68" x14ac:dyDescent="0.25">
      <c r="N329" s="11">
        <v>11</v>
      </c>
      <c r="O329" s="51">
        <f t="shared" si="320"/>
        <v>12882.49551693136</v>
      </c>
      <c r="P329" s="49" t="str">
        <f t="shared" si="267"/>
        <v>37.1583961085025</v>
      </c>
      <c r="Q329" s="18" t="str">
        <f t="shared" si="268"/>
        <v>1+63.4440097020403i</v>
      </c>
      <c r="R329" s="18">
        <f t="shared" si="280"/>
        <v>63.451890177303497</v>
      </c>
      <c r="S329" s="18">
        <f t="shared" si="281"/>
        <v>1.5550357025179582</v>
      </c>
      <c r="T329" s="18" t="str">
        <f t="shared" si="269"/>
        <v>1+0.0728487958966111i</v>
      </c>
      <c r="U329" s="18">
        <f t="shared" si="282"/>
        <v>1.0026499623814813</v>
      </c>
      <c r="V329" s="18">
        <f t="shared" si="283"/>
        <v>7.2720336451193968E-2</v>
      </c>
      <c r="W329" s="32" t="str">
        <f t="shared" si="270"/>
        <v>1-0.637637753435323i</v>
      </c>
      <c r="X329" s="18">
        <f t="shared" si="284"/>
        <v>1.1859940575761945</v>
      </c>
      <c r="Y329" s="18">
        <f t="shared" si="285"/>
        <v>-0.56763556578431462</v>
      </c>
      <c r="Z329" s="32" t="str">
        <f t="shared" si="271"/>
        <v>0.995851032731406+0.153522092093228i</v>
      </c>
      <c r="AA329" s="18">
        <f t="shared" si="286"/>
        <v>1.0076151607398975</v>
      </c>
      <c r="AB329" s="18">
        <f t="shared" si="287"/>
        <v>0.15295756792218076</v>
      </c>
      <c r="AC329" s="32" t="str">
        <f>IMDIV(IMSUM(COMPLEX(0,2*PI()*O329*Constants!$B$61*Constants!$B$62),COMPLEX(1,0)),IMSUM(COMPLEX(0,2*PI()*O329*Constants!$B$61*Constants!$B$62),COMPLEX(2,0)))</f>
        <v>0.512768935636118+0.0788759919162956i</v>
      </c>
      <c r="AD329" s="18">
        <f t="shared" si="288"/>
        <v>0.51879996477850399</v>
      </c>
      <c r="AE329" s="18">
        <f t="shared" si="289"/>
        <v>0.15262734980561971</v>
      </c>
      <c r="AF329" s="66" t="str">
        <f t="shared" si="290"/>
        <v>-0.165406970607655-0.318117116246982i</v>
      </c>
      <c r="AG329" s="64">
        <f t="shared" si="291"/>
        <v>-8.9090100888462178</v>
      </c>
      <c r="AH329" s="61">
        <f t="shared" si="292"/>
        <v>-117.47245670837468</v>
      </c>
      <c r="AI329" s="50" t="str">
        <f t="shared" si="272"/>
        <v>107.538871525172</v>
      </c>
      <c r="AJ329" s="50" t="str">
        <f t="shared" si="273"/>
        <v>1+60.3131264728437i</v>
      </c>
      <c r="AK329" s="50">
        <f t="shared" si="293"/>
        <v>60.321415972515425</v>
      </c>
      <c r="AL329" s="50">
        <f t="shared" si="294"/>
        <v>1.5542177071822099</v>
      </c>
      <c r="AM329" s="50" t="str">
        <f t="shared" si="274"/>
        <v>1+0.0728487958966111i</v>
      </c>
      <c r="AN329" s="50">
        <f t="shared" si="295"/>
        <v>1.0026499623814813</v>
      </c>
      <c r="AO329" s="50">
        <f t="shared" si="296"/>
        <v>7.2720336451193968E-2</v>
      </c>
      <c r="AP329" s="50" t="str">
        <f t="shared" si="275"/>
        <v>1-0.209452914816422i</v>
      </c>
      <c r="AQ329" s="50">
        <f t="shared" si="297"/>
        <v>1.0216998206543326</v>
      </c>
      <c r="AR329" s="50">
        <f t="shared" si="298"/>
        <v>-0.20646815884120093</v>
      </c>
      <c r="AS329" s="59" t="str">
        <f t="shared" si="299"/>
        <v>-0.213494118550938-1.81375502095589i</v>
      </c>
      <c r="AT329" s="50">
        <f t="shared" si="300"/>
        <v>5.231332126262954</v>
      </c>
      <c r="AU329" s="61">
        <f t="shared" si="301"/>
        <v>-96.713300808053035</v>
      </c>
      <c r="AV329" s="32" t="str">
        <f t="shared" si="276"/>
        <v>-0.0000333333333333333</v>
      </c>
      <c r="AW329" s="32" t="str">
        <f t="shared" si="277"/>
        <v>0.00388526911448592i</v>
      </c>
      <c r="AX329" s="32">
        <f t="shared" si="302"/>
        <v>3.8852691144859201E-3</v>
      </c>
      <c r="AY329" s="32">
        <f t="shared" si="303"/>
        <v>1.5707963267948966</v>
      </c>
      <c r="AZ329" s="32" t="str">
        <f t="shared" si="278"/>
        <v>1+1.58513583663922i</v>
      </c>
      <c r="BA329" s="32">
        <f t="shared" si="304"/>
        <v>1.8742079982216275</v>
      </c>
      <c r="BB329" s="32">
        <f t="shared" si="305"/>
        <v>1.0079936284589501</v>
      </c>
      <c r="BC329" s="32" t="str">
        <f t="shared" si="279"/>
        <v>1+76.0865201586828i</v>
      </c>
      <c r="BD329" s="32">
        <f t="shared" si="306"/>
        <v>76.093091341183168</v>
      </c>
      <c r="BE329" s="32">
        <f t="shared" si="307"/>
        <v>1.5576541509536348</v>
      </c>
      <c r="BF329" s="59" t="str">
        <f t="shared" si="308"/>
        <v>-0.181964390984602+0.297017691424722i</v>
      </c>
      <c r="BG329" s="50">
        <f t="shared" si="309"/>
        <v>-9.1602983870030759</v>
      </c>
      <c r="BH329" s="61">
        <f t="shared" si="310"/>
        <v>121.49322810390098</v>
      </c>
      <c r="BI329" s="59" t="str">
        <f t="shared" si="311"/>
        <v>0.124584590141598+0.00875719076421738i</v>
      </c>
      <c r="BJ329" s="64">
        <f t="shared" si="312"/>
        <v>-18.069308475849322</v>
      </c>
      <c r="BK329" s="61">
        <f t="shared" si="313"/>
        <v>4.0207713955263005</v>
      </c>
      <c r="BL329" s="59" t="str">
        <f t="shared" si="318"/>
        <v>0.577565656395232+0.266627297558747i</v>
      </c>
      <c r="BM329" s="64">
        <f t="shared" si="314"/>
        <v>-3.9289662607401277</v>
      </c>
      <c r="BN329" s="61">
        <f t="shared" si="319"/>
        <v>24.779927295847969</v>
      </c>
      <c r="BO329" s="50">
        <f t="shared" si="315"/>
        <v>-18.069308475849322</v>
      </c>
      <c r="BP329" s="61">
        <f t="shared" si="316"/>
        <v>4.0207713955263005</v>
      </c>
    </row>
    <row r="330" spans="14:68" x14ac:dyDescent="0.25">
      <c r="N330" s="11">
        <v>12</v>
      </c>
      <c r="O330" s="51">
        <f t="shared" si="320"/>
        <v>13182.567385564091</v>
      </c>
      <c r="P330" s="49" t="str">
        <f t="shared" si="267"/>
        <v>37.1583961085025</v>
      </c>
      <c r="Q330" s="18" t="str">
        <f t="shared" si="268"/>
        <v>1+64.92181053029i</v>
      </c>
      <c r="R330" s="18">
        <f t="shared" si="280"/>
        <v>64.929511645559714</v>
      </c>
      <c r="S330" s="18">
        <f t="shared" si="281"/>
        <v>1.5553944007322504</v>
      </c>
      <c r="T330" s="18" t="str">
        <f t="shared" si="269"/>
        <v>1+0.0745456623370931i</v>
      </c>
      <c r="U330" s="18">
        <f t="shared" si="282"/>
        <v>1.0027746784663421</v>
      </c>
      <c r="V330" s="18">
        <f t="shared" si="283"/>
        <v>7.440803612332797E-2</v>
      </c>
      <c r="W330" s="32" t="str">
        <f t="shared" si="270"/>
        <v>1-0.652490244704009i</v>
      </c>
      <c r="X330" s="18">
        <f t="shared" si="284"/>
        <v>1.1940450240396705</v>
      </c>
      <c r="Y330" s="18">
        <f t="shared" si="285"/>
        <v>-0.57812384044814114</v>
      </c>
      <c r="Z330" s="32" t="str">
        <f t="shared" si="271"/>
        <v>0.995655497928127+0.157098080999281i</v>
      </c>
      <c r="AA330" s="18">
        <f t="shared" si="286"/>
        <v>1.0079730540089666</v>
      </c>
      <c r="AB330" s="18">
        <f t="shared" si="287"/>
        <v>0.15649341434618771</v>
      </c>
      <c r="AC330" s="32" t="str">
        <f>IMDIV(IMSUM(COMPLEX(0,2*PI()*O330*Constants!$B$61*Constants!$B$62),COMPLEX(1,0)),IMSUM(COMPLEX(0,2*PI()*O330*Constants!$B$61*Constants!$B$62),COMPLEX(2,0)))</f>
        <v>0.51335464388031+0.0806162231004727i</v>
      </c>
      <c r="AD330" s="18">
        <f t="shared" si="288"/>
        <v>0.519646000485393</v>
      </c>
      <c r="AE330" s="18">
        <f t="shared" si="289"/>
        <v>0.15576593899591068</v>
      </c>
      <c r="AF330" s="66" t="str">
        <f t="shared" si="290"/>
        <v>-0.165955601494257-0.311854357646549i</v>
      </c>
      <c r="AG330" s="64">
        <f t="shared" si="291"/>
        <v>-9.0380489552796242</v>
      </c>
      <c r="AH330" s="61">
        <f t="shared" si="292"/>
        <v>-118.02000556935802</v>
      </c>
      <c r="AI330" s="50" t="str">
        <f t="shared" si="272"/>
        <v>107.538871525172</v>
      </c>
      <c r="AJ330" s="50" t="str">
        <f t="shared" si="273"/>
        <v>1+61.7179996622038i</v>
      </c>
      <c r="AK330" s="50">
        <f t="shared" si="293"/>
        <v>61.726100494878082</v>
      </c>
      <c r="AL330" s="50">
        <f t="shared" si="294"/>
        <v>1.554595015835651</v>
      </c>
      <c r="AM330" s="50" t="str">
        <f t="shared" si="274"/>
        <v>1+0.0745456623370931i</v>
      </c>
      <c r="AN330" s="50">
        <f t="shared" si="295"/>
        <v>1.0027746784663421</v>
      </c>
      <c r="AO330" s="50">
        <f t="shared" si="296"/>
        <v>7.440803612332797E-2</v>
      </c>
      <c r="AP330" s="50" t="str">
        <f t="shared" si="275"/>
        <v>1-0.214331699944423i</v>
      </c>
      <c r="AQ330" s="50">
        <f t="shared" si="297"/>
        <v>1.0227111408413747</v>
      </c>
      <c r="AR330" s="50">
        <f t="shared" si="298"/>
        <v>-0.21113729958462252</v>
      </c>
      <c r="AS330" s="59" t="str">
        <f t="shared" si="299"/>
        <v>-0.214826943736087-1.77374349833143i</v>
      </c>
      <c r="AT330" s="50">
        <f t="shared" si="300"/>
        <v>5.0410595809614787</v>
      </c>
      <c r="AU330" s="61">
        <f t="shared" si="301"/>
        <v>-96.905742991720629</v>
      </c>
      <c r="AV330" s="32" t="str">
        <f t="shared" si="276"/>
        <v>-0.0000333333333333333</v>
      </c>
      <c r="AW330" s="32" t="str">
        <f t="shared" si="277"/>
        <v>0.00397576865797829i</v>
      </c>
      <c r="AX330" s="32">
        <f t="shared" si="302"/>
        <v>3.9757686579782901E-3</v>
      </c>
      <c r="AY330" s="32">
        <f t="shared" si="303"/>
        <v>1.5707963267948966</v>
      </c>
      <c r="AZ330" s="32" t="str">
        <f t="shared" si="278"/>
        <v>1+1.62205839344601i</v>
      </c>
      <c r="BA330" s="32">
        <f t="shared" si="304"/>
        <v>1.9055375702800117</v>
      </c>
      <c r="BB330" s="32">
        <f t="shared" si="305"/>
        <v>1.0183322872241272</v>
      </c>
      <c r="BC330" s="32" t="str">
        <f t="shared" si="279"/>
        <v>1+77.8588028854084i</v>
      </c>
      <c r="BD330" s="32">
        <f t="shared" si="306"/>
        <v>77.86522450201295</v>
      </c>
      <c r="BE330" s="32">
        <f t="shared" si="307"/>
        <v>1.5579532701208958</v>
      </c>
      <c r="BF330" s="59" t="str">
        <f t="shared" si="308"/>
        <v>-0.176030105905329+0.293915233754079i</v>
      </c>
      <c r="BG330" s="50">
        <f t="shared" si="309"/>
        <v>-9.3043267251209851</v>
      </c>
      <c r="BH330" s="61">
        <f t="shared" si="310"/>
        <v>120.918004856686</v>
      </c>
      <c r="BI330" s="59" t="str">
        <f t="shared" si="311"/>
        <v>0.12087192853153+0.00611887619757703i</v>
      </c>
      <c r="BJ330" s="64">
        <f t="shared" si="312"/>
        <v>-18.342375680400625</v>
      </c>
      <c r="BK330" s="61">
        <f t="shared" si="313"/>
        <v>2.8979992873279885</v>
      </c>
      <c r="BL330" s="59" t="str">
        <f t="shared" si="318"/>
        <v>0.559146244589042+0.249091344475304i</v>
      </c>
      <c r="BM330" s="64">
        <f t="shared" si="314"/>
        <v>-4.2632671441595029</v>
      </c>
      <c r="BN330" s="61">
        <f t="shared" si="319"/>
        <v>24.012261864965357</v>
      </c>
      <c r="BO330" s="50">
        <f t="shared" si="315"/>
        <v>-18.342375680400625</v>
      </c>
      <c r="BP330" s="61">
        <f t="shared" si="316"/>
        <v>2.8979992873279885</v>
      </c>
    </row>
    <row r="331" spans="14:68" x14ac:dyDescent="0.25">
      <c r="N331" s="11">
        <v>13</v>
      </c>
      <c r="O331" s="51">
        <f t="shared" si="320"/>
        <v>13489.628825916556</v>
      </c>
      <c r="P331" s="49" t="str">
        <f t="shared" si="267"/>
        <v>37.1583961085025</v>
      </c>
      <c r="Q331" s="18" t="str">
        <f t="shared" si="268"/>
        <v>1+66.4340337618247i</v>
      </c>
      <c r="R331" s="18">
        <f t="shared" si="280"/>
        <v>66.44155959839641</v>
      </c>
      <c r="S331" s="18">
        <f t="shared" si="281"/>
        <v>1.5557449378084292</v>
      </c>
      <c r="T331" s="18" t="str">
        <f t="shared" si="269"/>
        <v>1+0.0762820538744747i</v>
      </c>
      <c r="U331" s="18">
        <f t="shared" si="282"/>
        <v>1.0029052556165554</v>
      </c>
      <c r="V331" s="18">
        <f t="shared" si="283"/>
        <v>7.6134607792000444E-2</v>
      </c>
      <c r="W331" s="32" t="str">
        <f t="shared" si="270"/>
        <v>1-0.667688694937167i</v>
      </c>
      <c r="X331" s="18">
        <f t="shared" si="284"/>
        <v>1.2024176451411952</v>
      </c>
      <c r="Y331" s="18">
        <f t="shared" si="285"/>
        <v>-0.58870982786152881</v>
      </c>
      <c r="Z331" s="32" t="str">
        <f t="shared" si="271"/>
        <v>0.995450747853475+0.160757365387319i</v>
      </c>
      <c r="AA331" s="18">
        <f t="shared" si="286"/>
        <v>1.0083477187599101</v>
      </c>
      <c r="AB331" s="18">
        <f t="shared" si="287"/>
        <v>0.16010971333725868</v>
      </c>
      <c r="AC331" s="32" t="str">
        <f>IMDIV(IMSUM(COMPLEX(0,2*PI()*O331*Constants!$B$61*Constants!$B$62),COMPLEX(1,0)),IMSUM(COMPLEX(0,2*PI()*O331*Constants!$B$61*Constants!$B$62),COMPLEX(2,0)))</f>
        <v>0.513966448310662+0.0823903057217073i</v>
      </c>
      <c r="AD331" s="18">
        <f t="shared" si="288"/>
        <v>0.52052826288876264</v>
      </c>
      <c r="AE331" s="18">
        <f t="shared" si="289"/>
        <v>0.15895057531006554</v>
      </c>
      <c r="AF331" s="66" t="str">
        <f t="shared" si="290"/>
        <v>-0.166509458063475-0.305749921811233i</v>
      </c>
      <c r="AG331" s="64">
        <f t="shared" si="291"/>
        <v>-9.1646723031412556</v>
      </c>
      <c r="AH331" s="61">
        <f t="shared" si="292"/>
        <v>-118.5724294450703</v>
      </c>
      <c r="AI331" s="50" t="str">
        <f t="shared" si="272"/>
        <v>107.538871525172</v>
      </c>
      <c r="AJ331" s="50" t="str">
        <f t="shared" si="273"/>
        <v>1+63.1555965519191i</v>
      </c>
      <c r="AK331" s="50">
        <f t="shared" si="293"/>
        <v>63.163513010509291</v>
      </c>
      <c r="AL331" s="50">
        <f t="shared" si="294"/>
        <v>1.5549637403534011</v>
      </c>
      <c r="AM331" s="50" t="str">
        <f t="shared" si="274"/>
        <v>1+0.0762820538744747i</v>
      </c>
      <c r="AN331" s="50">
        <f t="shared" si="295"/>
        <v>1.0029052556165554</v>
      </c>
      <c r="AO331" s="50">
        <f t="shared" si="296"/>
        <v>7.6134607792000444E-2</v>
      </c>
      <c r="AP331" s="50" t="str">
        <f t="shared" si="275"/>
        <v>1-0.219324126576749i</v>
      </c>
      <c r="AQ331" s="50">
        <f t="shared" si="297"/>
        <v>1.02376905232511</v>
      </c>
      <c r="AR331" s="50">
        <f t="shared" si="298"/>
        <v>-0.21590554228938064</v>
      </c>
      <c r="AS331" s="59" t="str">
        <f t="shared" si="299"/>
        <v>-0.216099812686451-1.73467049405343i</v>
      </c>
      <c r="AT331" s="50">
        <f t="shared" si="300"/>
        <v>4.8512220520884632</v>
      </c>
      <c r="AU331" s="61">
        <f t="shared" si="301"/>
        <v>-97.101144263425581</v>
      </c>
      <c r="AV331" s="32" t="str">
        <f t="shared" si="276"/>
        <v>-0.0000333333333333333</v>
      </c>
      <c r="AW331" s="32" t="str">
        <f t="shared" si="277"/>
        <v>0.00406837620663865i</v>
      </c>
      <c r="AX331" s="32">
        <f t="shared" si="302"/>
        <v>4.0683762066386501E-3</v>
      </c>
      <c r="AY331" s="32">
        <f t="shared" si="303"/>
        <v>1.5707963267948966</v>
      </c>
      <c r="AZ331" s="32" t="str">
        <f t="shared" si="278"/>
        <v>1+1.65984098708348i</v>
      </c>
      <c r="BA331" s="32">
        <f t="shared" si="304"/>
        <v>1.9378008417797379</v>
      </c>
      <c r="BB331" s="32">
        <f t="shared" si="305"/>
        <v>1.0285645736756133</v>
      </c>
      <c r="BC331" s="32" t="str">
        <f t="shared" si="279"/>
        <v>1+79.672367380007i</v>
      </c>
      <c r="BD331" s="32">
        <f t="shared" si="306"/>
        <v>79.678642834418326</v>
      </c>
      <c r="BE331" s="32">
        <f t="shared" si="307"/>
        <v>1.5582455827254964</v>
      </c>
      <c r="BF331" s="59" t="str">
        <f t="shared" si="308"/>
        <v>-0.170217301641648+0.290726931008037i</v>
      </c>
      <c r="BG331" s="50">
        <f t="shared" si="309"/>
        <v>-9.4501914507183198</v>
      </c>
      <c r="BH331" s="61">
        <f t="shared" si="310"/>
        <v>120.34848630678914</v>
      </c>
      <c r="BI331" s="59" t="str">
        <f t="shared" si="311"/>
        <v>0.117232527073505+0.00363514294124741i</v>
      </c>
      <c r="BJ331" s="64">
        <f t="shared" si="312"/>
        <v>-18.61486375385957</v>
      </c>
      <c r="BK331" s="61">
        <f t="shared" si="313"/>
        <v>1.776056861718843</v>
      </c>
      <c r="BL331" s="59" t="str">
        <f t="shared" si="318"/>
        <v>0.541099356047102+0.232444895401416i</v>
      </c>
      <c r="BM331" s="64">
        <f t="shared" si="314"/>
        <v>-4.5989693986298601</v>
      </c>
      <c r="BN331" s="61">
        <f t="shared" si="319"/>
        <v>23.24734204336357</v>
      </c>
      <c r="BO331" s="50">
        <f t="shared" si="315"/>
        <v>-18.61486375385957</v>
      </c>
      <c r="BP331" s="61">
        <f t="shared" si="316"/>
        <v>1.776056861718843</v>
      </c>
    </row>
    <row r="332" spans="14:68" x14ac:dyDescent="0.25">
      <c r="N332" s="11">
        <v>14</v>
      </c>
      <c r="O332" s="51">
        <f t="shared" si="320"/>
        <v>13803.842646028841</v>
      </c>
      <c r="P332" s="49" t="str">
        <f t="shared" si="267"/>
        <v>37.1583961085025</v>
      </c>
      <c r="Q332" s="18" t="str">
        <f t="shared" si="268"/>
        <v>1+67.9814811974181i</v>
      </c>
      <c r="R332" s="18">
        <f t="shared" si="280"/>
        <v>67.988835743781578</v>
      </c>
      <c r="S332" s="18">
        <f t="shared" si="281"/>
        <v>1.5560874992611125</v>
      </c>
      <c r="T332" s="18" t="str">
        <f t="shared" si="269"/>
        <v>1+0.0780588911665327i</v>
      </c>
      <c r="U332" s="18">
        <f t="shared" si="282"/>
        <v>1.0030419684590215</v>
      </c>
      <c r="V332" s="18">
        <f t="shared" si="283"/>
        <v>7.7900925709354418E-2</v>
      </c>
      <c r="W332" s="32" t="str">
        <f t="shared" si="270"/>
        <v>1-0.683241162554284i</v>
      </c>
      <c r="X332" s="18">
        <f t="shared" si="284"/>
        <v>1.2111228204474267</v>
      </c>
      <c r="Y332" s="18">
        <f t="shared" si="285"/>
        <v>-0.59938965033099234</v>
      </c>
      <c r="Z332" s="32" t="str">
        <f t="shared" si="271"/>
        <v>0.995236348205092+0.164501885458359i</v>
      </c>
      <c r="AA332" s="18">
        <f t="shared" si="286"/>
        <v>1.0087399363106244</v>
      </c>
      <c r="AB332" s="18">
        <f t="shared" si="287"/>
        <v>0.16380820515253125</v>
      </c>
      <c r="AC332" s="32" t="str">
        <f>IMDIV(IMSUM(COMPLEX(0,2*PI()*O332*Constants!$B$61*Constants!$B$62),COMPLEX(1,0)),IMSUM(COMPLEX(0,2*PI()*O332*Constants!$B$61*Constants!$B$62),COMPLEX(2,0)))</f>
        <v>0.514605439601913+0.0841985803620916i</v>
      </c>
      <c r="AD332" s="18">
        <f t="shared" si="288"/>
        <v>0.52144813682941638</v>
      </c>
      <c r="AE332" s="18">
        <f t="shared" si="289"/>
        <v>0.16218069799195362</v>
      </c>
      <c r="AF332" s="66" t="str">
        <f t="shared" si="290"/>
        <v>-0.167069532003322-0.299800144731999i</v>
      </c>
      <c r="AG332" s="64">
        <f t="shared" si="291"/>
        <v>-9.2888289423930637</v>
      </c>
      <c r="AH332" s="61">
        <f t="shared" si="292"/>
        <v>-119.12959853663658</v>
      </c>
      <c r="AI332" s="50" t="str">
        <f t="shared" si="272"/>
        <v>107.538871525172</v>
      </c>
      <c r="AJ332" s="50" t="str">
        <f t="shared" si="273"/>
        <v>1+64.6266793748893i</v>
      </c>
      <c r="AK332" s="50">
        <f t="shared" si="293"/>
        <v>64.634415654701655</v>
      </c>
      <c r="AL332" s="50">
        <f t="shared" si="294"/>
        <v>1.5553240758368028</v>
      </c>
      <c r="AM332" s="50" t="str">
        <f t="shared" si="274"/>
        <v>1+0.0780588911665327i</v>
      </c>
      <c r="AN332" s="50">
        <f t="shared" si="295"/>
        <v>1.0030419684590215</v>
      </c>
      <c r="AO332" s="50">
        <f t="shared" si="296"/>
        <v>7.7900925709354418E-2</v>
      </c>
      <c r="AP332" s="50" t="str">
        <f t="shared" si="275"/>
        <v>1-0.224432841764084i</v>
      </c>
      <c r="AQ332" s="50">
        <f t="shared" si="297"/>
        <v>1.0248756512193575</v>
      </c>
      <c r="AR332" s="50">
        <f t="shared" si="298"/>
        <v>-0.22077454744987512</v>
      </c>
      <c r="AS332" s="59" t="str">
        <f t="shared" si="299"/>
        <v>-0.217315421169791-1.69651542078276i</v>
      </c>
      <c r="AT332" s="50">
        <f t="shared" si="300"/>
        <v>4.6618385640166551</v>
      </c>
      <c r="AU332" s="61">
        <f t="shared" si="301"/>
        <v>-97.299560850014331</v>
      </c>
      <c r="AV332" s="32" t="str">
        <f t="shared" si="276"/>
        <v>-0.0000333333333333333</v>
      </c>
      <c r="AW332" s="32" t="str">
        <f t="shared" si="277"/>
        <v>0.00416314086221508i</v>
      </c>
      <c r="AX332" s="32">
        <f t="shared" si="302"/>
        <v>4.1631408622150798E-3</v>
      </c>
      <c r="AY332" s="32">
        <f t="shared" si="303"/>
        <v>1.5707963267948966</v>
      </c>
      <c r="AZ332" s="32" t="str">
        <f t="shared" si="278"/>
        <v>1+1.69850365038289i</v>
      </c>
      <c r="BA332" s="32">
        <f t="shared" si="304"/>
        <v>1.9710186834132251</v>
      </c>
      <c r="BB332" s="32">
        <f t="shared" si="305"/>
        <v>1.0386873421340546</v>
      </c>
      <c r="BC332" s="32" t="str">
        <f t="shared" si="279"/>
        <v>1+81.5281752183788i</v>
      </c>
      <c r="BD332" s="32">
        <f t="shared" si="306"/>
        <v>81.534307836877318</v>
      </c>
      <c r="BE332" s="32">
        <f t="shared" si="307"/>
        <v>1.558531243555517</v>
      </c>
      <c r="BF332" s="59" t="str">
        <f t="shared" si="308"/>
        <v>-0.164528258215622+0.287458622448113i</v>
      </c>
      <c r="BG332" s="50">
        <f t="shared" si="309"/>
        <v>-9.597854254583476</v>
      </c>
      <c r="BH332" s="61">
        <f t="shared" si="310"/>
        <v>119.78486155706457</v>
      </c>
      <c r="BI332" s="59" t="str">
        <f t="shared" si="311"/>
        <v>0.113667795715811+0.00130001810282131i</v>
      </c>
      <c r="BJ332" s="64">
        <f t="shared" si="312"/>
        <v>-18.886683196976545</v>
      </c>
      <c r="BK332" s="61">
        <f t="shared" si="313"/>
        <v>0.65526302042798701</v>
      </c>
      <c r="BL332" s="59" t="str">
        <f t="shared" si="318"/>
        <v>0.523432513548653+0.216655535611131i</v>
      </c>
      <c r="BM332" s="64">
        <f t="shared" si="314"/>
        <v>-4.93601569056682</v>
      </c>
      <c r="BN332" s="61">
        <f t="shared" si="319"/>
        <v>22.485300707050264</v>
      </c>
      <c r="BO332" s="50">
        <f t="shared" si="315"/>
        <v>-18.886683196976545</v>
      </c>
      <c r="BP332" s="61">
        <f t="shared" si="316"/>
        <v>0.65526302042798701</v>
      </c>
    </row>
    <row r="333" spans="14:68" x14ac:dyDescent="0.25">
      <c r="N333" s="11">
        <v>15</v>
      </c>
      <c r="O333" s="51">
        <f t="shared" si="320"/>
        <v>14125.375446227561</v>
      </c>
      <c r="P333" s="49" t="str">
        <f t="shared" si="267"/>
        <v>37.1583961085025</v>
      </c>
      <c r="Q333" s="18" t="str">
        <f t="shared" si="268"/>
        <v>1+69.5649733141839i</v>
      </c>
      <c r="R333" s="18">
        <f t="shared" si="280"/>
        <v>69.572160468129198</v>
      </c>
      <c r="S333" s="18">
        <f t="shared" si="281"/>
        <v>1.5564222663991405</v>
      </c>
      <c r="T333" s="18" t="str">
        <f t="shared" si="269"/>
        <v>1+0.0798771163159191i</v>
      </c>
      <c r="U333" s="18">
        <f t="shared" si="282"/>
        <v>1.0031851044104207</v>
      </c>
      <c r="V333" s="18">
        <f t="shared" si="283"/>
        <v>7.9707882290306009E-2</v>
      </c>
      <c r="W333" s="32" t="str">
        <f t="shared" si="270"/>
        <v>1-0.699155893679556i</v>
      </c>
      <c r="X333" s="18">
        <f t="shared" si="284"/>
        <v>1.2201716943393084</v>
      </c>
      <c r="Y333" s="18">
        <f t="shared" si="285"/>
        <v>-0.61015922539481438</v>
      </c>
      <c r="Z333" s="32" t="str">
        <f t="shared" si="271"/>
        <v>0.995011844212578+0.168333626606511i</v>
      </c>
      <c r="AA333" s="18">
        <f t="shared" si="286"/>
        <v>1.0091505239407133</v>
      </c>
      <c r="AB333" s="18">
        <f t="shared" si="287"/>
        <v>0.16759066134734443</v>
      </c>
      <c r="AC333" s="32" t="str">
        <f>IMDIV(IMSUM(COMPLEX(0,2*PI()*O333*Constants!$B$61*Constants!$B$62),COMPLEX(1,0)),IMSUM(COMPLEX(0,2*PI()*O333*Constants!$B$61*Constants!$B$62),COMPLEX(2,0)))</f>
        <v>0.515272747287129+0.086041366992093i</v>
      </c>
      <c r="AD333" s="18">
        <f t="shared" si="288"/>
        <v>0.52240704525369253</v>
      </c>
      <c r="AE333" s="18">
        <f t="shared" si="289"/>
        <v>0.16545564831621465</v>
      </c>
      <c r="AF333" s="66" t="str">
        <f t="shared" si="290"/>
        <v>-0.167636811846267-0.294001415207794i</v>
      </c>
      <c r="AG333" s="64">
        <f t="shared" si="291"/>
        <v>-9.4104686756570572</v>
      </c>
      <c r="AH333" s="61">
        <f t="shared" si="292"/>
        <v>-119.69137743768054</v>
      </c>
      <c r="AI333" s="50" t="str">
        <f t="shared" si="272"/>
        <v>107.538871525172</v>
      </c>
      <c r="AJ333" s="50" t="str">
        <f t="shared" si="273"/>
        <v>1+66.1320281186994i</v>
      </c>
      <c r="AK333" s="50">
        <f t="shared" si="293"/>
        <v>66.139588319647473</v>
      </c>
      <c r="AL333" s="50">
        <f t="shared" si="294"/>
        <v>1.5556762129659913</v>
      </c>
      <c r="AM333" s="50" t="str">
        <f t="shared" si="274"/>
        <v>1+0.0798771163159191i</v>
      </c>
      <c r="AN333" s="50">
        <f t="shared" si="295"/>
        <v>1.0031851044104207</v>
      </c>
      <c r="AO333" s="50">
        <f t="shared" si="296"/>
        <v>7.9707882290306009E-2</v>
      </c>
      <c r="AP333" s="50" t="str">
        <f t="shared" si="275"/>
        <v>1-0.229660554214843i</v>
      </c>
      <c r="AQ333" s="50">
        <f t="shared" si="297"/>
        <v>1.0260331233260789</v>
      </c>
      <c r="AR333" s="50">
        <f t="shared" si="298"/>
        <v>-0.22574597281184933</v>
      </c>
      <c r="AS333" s="59" t="str">
        <f t="shared" si="299"/>
        <v>-0.218476343862424-1.65925816923057i</v>
      </c>
      <c r="AT333" s="50">
        <f t="shared" si="300"/>
        <v>4.4729288753132179</v>
      </c>
      <c r="AU333" s="61">
        <f t="shared" si="301"/>
        <v>-97.501047526880271</v>
      </c>
      <c r="AV333" s="32" t="str">
        <f t="shared" si="276"/>
        <v>-0.0000333333333333333</v>
      </c>
      <c r="AW333" s="32" t="str">
        <f t="shared" si="277"/>
        <v>0.00426011287018235i</v>
      </c>
      <c r="AX333" s="32">
        <f t="shared" si="302"/>
        <v>4.2601128701823497E-3</v>
      </c>
      <c r="AY333" s="32">
        <f t="shared" si="303"/>
        <v>1.5707963267948966</v>
      </c>
      <c r="AZ333" s="32" t="str">
        <f t="shared" si="278"/>
        <v>1+1.73806688280009i</v>
      </c>
      <c r="BA333" s="32">
        <f t="shared" si="304"/>
        <v>2.0052123301751417</v>
      </c>
      <c r="BB333" s="32">
        <f t="shared" si="305"/>
        <v>1.0486976610346035</v>
      </c>
      <c r="BC333" s="32" t="str">
        <f t="shared" si="279"/>
        <v>1+83.4272103744046i</v>
      </c>
      <c r="BD333" s="32">
        <f t="shared" si="306"/>
        <v>83.433203407607223</v>
      </c>
      <c r="BE333" s="32">
        <f t="shared" si="307"/>
        <v>1.5588104038855193</v>
      </c>
      <c r="BF333" s="59" t="str">
        <f t="shared" si="308"/>
        <v>-0.158964902919952+0.284116152113937i</v>
      </c>
      <c r="BG333" s="50">
        <f t="shared" si="309"/>
        <v>-9.747276166380944</v>
      </c>
      <c r="BH333" s="61">
        <f t="shared" si="310"/>
        <v>119.22730724119965</v>
      </c>
      <c r="BI333" s="59" t="str">
        <f t="shared" si="311"/>
        <v>0.110178920325842-0.000892419507573954i</v>
      </c>
      <c r="BJ333" s="64">
        <f t="shared" si="312"/>
        <v>-19.157744842038035</v>
      </c>
      <c r="BK333" s="61">
        <f t="shared" si="313"/>
        <v>-0.46407019648087117</v>
      </c>
      <c r="BL333" s="59" t="str">
        <f t="shared" si="318"/>
        <v>0.506152117197802+0.201691155644762i</v>
      </c>
      <c r="BM333" s="64">
        <f t="shared" si="314"/>
        <v>-5.2743472910677172</v>
      </c>
      <c r="BN333" s="61">
        <f t="shared" si="319"/>
        <v>21.726259714319429</v>
      </c>
      <c r="BO333" s="50">
        <f t="shared" si="315"/>
        <v>-19.157744842038035</v>
      </c>
      <c r="BP333" s="61">
        <f t="shared" si="316"/>
        <v>-0.46407019648087117</v>
      </c>
    </row>
    <row r="334" spans="14:68" x14ac:dyDescent="0.25">
      <c r="N334" s="11">
        <v>16</v>
      </c>
      <c r="O334" s="51">
        <f t="shared" si="320"/>
        <v>14454.397707459291</v>
      </c>
      <c r="P334" s="49" t="str">
        <f t="shared" si="267"/>
        <v>37.1583961085025</v>
      </c>
      <c r="Q334" s="18" t="str">
        <f t="shared" si="268"/>
        <v>1+71.185349700602i</v>
      </c>
      <c r="R334" s="18">
        <f t="shared" si="280"/>
        <v>71.192373271278143</v>
      </c>
      <c r="S334" s="18">
        <f t="shared" si="281"/>
        <v>1.5567494164201723</v>
      </c>
      <c r="T334" s="18" t="str">
        <f t="shared" si="269"/>
        <v>1+0.0817376933696747i</v>
      </c>
      <c r="U334" s="18">
        <f t="shared" si="282"/>
        <v>1.0033349642653717</v>
      </c>
      <c r="V334" s="18">
        <f t="shared" si="283"/>
        <v>8.1556388381770109E-2</v>
      </c>
      <c r="W334" s="32" t="str">
        <f t="shared" si="270"/>
        <v>1-0.715441326514077i</v>
      </c>
      <c r="X334" s="18">
        <f t="shared" si="284"/>
        <v>1.2295756551283137</v>
      </c>
      <c r="Y334" s="18">
        <f t="shared" si="285"/>
        <v>-0.62101427051454283</v>
      </c>
      <c r="Z334" s="32" t="str">
        <f t="shared" si="271"/>
        <v>0.994776759672865+0.172254620471648i</v>
      </c>
      <c r="AA334" s="18">
        <f t="shared" si="286"/>
        <v>1.0095803365057565</v>
      </c>
      <c r="AB334" s="18">
        <f t="shared" si="287"/>
        <v>0.17145888488229813</v>
      </c>
      <c r="AC334" s="32" t="str">
        <f>IMDIV(IMSUM(COMPLEX(0,2*PI()*O334*Constants!$B$61*Constants!$B$62),COMPLEX(1,0)),IMSUM(COMPLEX(0,2*PI()*O334*Constants!$B$61*Constants!$B$62),COMPLEX(2,0)))</f>
        <v>0.515969540502999+0.0879189628443302i</v>
      </c>
      <c r="AD334" s="18">
        <f t="shared" si="288"/>
        <v>0.52340644890419397</v>
      </c>
      <c r="AE334" s="18">
        <f t="shared" si="289"/>
        <v>0.16877466437547536</v>
      </c>
      <c r="AF334" s="66" t="str">
        <f t="shared" si="290"/>
        <v>-0.168212283649668-0.288350171477738i</v>
      </c>
      <c r="AG334" s="64">
        <f t="shared" si="291"/>
        <v>-9.5295424438183876</v>
      </c>
      <c r="AH334" s="61">
        <f t="shared" si="292"/>
        <v>-120.25762569792687</v>
      </c>
      <c r="AI334" s="50" t="str">
        <f t="shared" si="272"/>
        <v>107.538871525172</v>
      </c>
      <c r="AJ334" s="50" t="str">
        <f t="shared" si="273"/>
        <v>1+67.6724409391789i</v>
      </c>
      <c r="AK334" s="50">
        <f t="shared" si="293"/>
        <v>67.679829067947978</v>
      </c>
      <c r="AL334" s="50">
        <f t="shared" si="294"/>
        <v>1.5560203380992117</v>
      </c>
      <c r="AM334" s="50" t="str">
        <f t="shared" si="274"/>
        <v>1+0.0817376933696747i</v>
      </c>
      <c r="AN334" s="50">
        <f t="shared" si="295"/>
        <v>1.0033349642653717</v>
      </c>
      <c r="AO334" s="50">
        <f t="shared" si="296"/>
        <v>8.1556388381770109E-2</v>
      </c>
      <c r="AP334" s="50" t="str">
        <f t="shared" si="275"/>
        <v>1-0.235010035731363i</v>
      </c>
      <c r="AQ334" s="50">
        <f t="shared" si="297"/>
        <v>1.02724374755676</v>
      </c>
      <c r="AR334" s="50">
        <f t="shared" si="298"/>
        <v>-0.23082147089467939</v>
      </c>
      <c r="AS334" s="59" t="str">
        <f t="shared" si="299"/>
        <v>-0.219585039778285-1.62287909807255i</v>
      </c>
      <c r="AT334" s="50">
        <f t="shared" si="300"/>
        <v>4.2845135006970585</v>
      </c>
      <c r="AU334" s="61">
        <f t="shared" si="301"/>
        <v>-97.70565746626589</v>
      </c>
      <c r="AV334" s="32" t="str">
        <f t="shared" si="276"/>
        <v>-0.0000333333333333333</v>
      </c>
      <c r="AW334" s="32" t="str">
        <f t="shared" si="277"/>
        <v>0.00435934364638265i</v>
      </c>
      <c r="AX334" s="32">
        <f t="shared" si="302"/>
        <v>4.3593436463826504E-3</v>
      </c>
      <c r="AY334" s="32">
        <f t="shared" si="303"/>
        <v>1.5707963267948966</v>
      </c>
      <c r="AZ334" s="32" t="str">
        <f t="shared" si="278"/>
        <v>1+1.77855166128459i</v>
      </c>
      <c r="BA334" s="32">
        <f t="shared" si="304"/>
        <v>2.0404033943948865</v>
      </c>
      <c r="BB334" s="32">
        <f t="shared" si="305"/>
        <v>1.0585928126017794</v>
      </c>
      <c r="BC334" s="32" t="str">
        <f t="shared" si="279"/>
        <v>1+85.3704797416604i</v>
      </c>
      <c r="BD334" s="32">
        <f t="shared" si="306"/>
        <v>85.376336366239386</v>
      </c>
      <c r="BE334" s="32">
        <f t="shared" si="307"/>
        <v>1.5590832115558648</v>
      </c>
      <c r="BF334" s="59" t="str">
        <f t="shared" si="308"/>
        <v>-0.153528818359561+0.280705345976639i</v>
      </c>
      <c r="BG334" s="50">
        <f t="shared" si="309"/>
        <v>-9.8984176639426948</v>
      </c>
      <c r="BH334" s="61">
        <f t="shared" si="310"/>
        <v>118.67598754688785</v>
      </c>
      <c r="BI334" s="59" t="str">
        <f t="shared" si="311"/>
        <v>0.106766867789378-0.00294802617864669i</v>
      </c>
      <c r="BJ334" s="64">
        <f t="shared" si="312"/>
        <v>-19.427960107761116</v>
      </c>
      <c r="BK334" s="61">
        <f t="shared" si="313"/>
        <v>-1.5816381510390158</v>
      </c>
      <c r="BL334" s="59" t="str">
        <f t="shared" si="318"/>
        <v>0.489263470389308+0.187520015705251i</v>
      </c>
      <c r="BM334" s="64">
        <f t="shared" si="314"/>
        <v>-5.6139041632456399</v>
      </c>
      <c r="BN334" s="61">
        <f t="shared" si="319"/>
        <v>20.970330080621967</v>
      </c>
      <c r="BO334" s="50">
        <f t="shared" si="315"/>
        <v>-19.427960107761116</v>
      </c>
      <c r="BP334" s="61">
        <f t="shared" si="316"/>
        <v>-1.5816381510390158</v>
      </c>
    </row>
    <row r="335" spans="14:68" x14ac:dyDescent="0.25">
      <c r="N335" s="11">
        <v>17</v>
      </c>
      <c r="O335" s="51">
        <f t="shared" si="320"/>
        <v>14791.083881682089</v>
      </c>
      <c r="P335" s="49" t="str">
        <f t="shared" si="267"/>
        <v>37.1583961085025</v>
      </c>
      <c r="Q335" s="18" t="str">
        <f t="shared" si="268"/>
        <v>1+72.8434695016809i</v>
      </c>
      <c r="R335" s="18">
        <f t="shared" si="280"/>
        <v>72.850333211608003</v>
      </c>
      <c r="S335" s="18">
        <f t="shared" si="281"/>
        <v>1.5570691225032072</v>
      </c>
      <c r="T335" s="18" t="str">
        <f t="shared" si="269"/>
        <v>1+0.0836416088303812i</v>
      </c>
      <c r="U335" s="18">
        <f t="shared" si="282"/>
        <v>1.003491862810922</v>
      </c>
      <c r="V335" s="18">
        <f t="shared" si="283"/>
        <v>8.3447373527589269E-2</v>
      </c>
      <c r="W335" s="32" t="str">
        <f t="shared" si="270"/>
        <v>1-0.732106095809902i</v>
      </c>
      <c r="X335" s="18">
        <f t="shared" si="284"/>
        <v>1.2393463339688457</v>
      </c>
      <c r="Y335" s="18">
        <f t="shared" si="285"/>
        <v>-0.6319503087564956</v>
      </c>
      <c r="Z335" s="32" t="str">
        <f t="shared" si="271"/>
        <v>0.994530595940126+0.176266946016618i</v>
      </c>
      <c r="AA335" s="18">
        <f t="shared" si="286"/>
        <v>1.0100302681202418</v>
      </c>
      <c r="AB335" s="18">
        <f t="shared" si="287"/>
        <v>0.17541471019288227</v>
      </c>
      <c r="AC335" s="32" t="str">
        <f>IMDIV(IMSUM(COMPLEX(0,2*PI()*O335*Constants!$B$61*Constants!$B$62),COMPLEX(1,0)),IMSUM(COMPLEX(0,2*PI()*O335*Constants!$B$61*Constants!$B$62),COMPLEX(2,0)))</f>
        <v>0.516697028682517+0.0898316401633285i</v>
      </c>
      <c r="AD335" s="18">
        <f t="shared" si="288"/>
        <v>0.52444784585674054</v>
      </c>
      <c r="AE335" s="18">
        <f t="shared" si="289"/>
        <v>0.17213687581094625</v>
      </c>
      <c r="AF335" s="66" t="str">
        <f t="shared" si="290"/>
        <v>-0.168796931558449-0.282842897813199i</v>
      </c>
      <c r="AG335" s="64">
        <f t="shared" si="291"/>
        <v>-9.6460024739454244</v>
      </c>
      <c r="AH335" s="61">
        <f t="shared" si="292"/>
        <v>-120.82819844475389</v>
      </c>
      <c r="AI335" s="50" t="str">
        <f t="shared" si="272"/>
        <v>107.538871525172</v>
      </c>
      <c r="AJ335" s="50" t="str">
        <f t="shared" si="273"/>
        <v>1+69.248734583595i</v>
      </c>
      <c r="AK335" s="50">
        <f t="shared" si="293"/>
        <v>69.255954555757782</v>
      </c>
      <c r="AL335" s="50">
        <f t="shared" si="294"/>
        <v>1.5563566333699614</v>
      </c>
      <c r="AM335" s="50" t="str">
        <f t="shared" si="274"/>
        <v>1+0.0836416088303812i</v>
      </c>
      <c r="AN335" s="50">
        <f t="shared" si="295"/>
        <v>1.003491862810922</v>
      </c>
      <c r="AO335" s="50">
        <f t="shared" si="296"/>
        <v>8.3447373527589269E-2</v>
      </c>
      <c r="AP335" s="50" t="str">
        <f t="shared" si="275"/>
        <v>1-0.240484122679553i</v>
      </c>
      <c r="AQ335" s="50">
        <f t="shared" si="297"/>
        <v>1.0285098994472315</v>
      </c>
      <c r="AR335" s="50">
        <f t="shared" si="298"/>
        <v>-0.23600268634225588</v>
      </c>
      <c r="AS335" s="59" t="str">
        <f t="shared" si="299"/>
        <v>-0.220643857455524-1.58735902407296i</v>
      </c>
      <c r="AT335" s="50">
        <f t="shared" si="300"/>
        <v>4.0966137329642294</v>
      </c>
      <c r="AU335" s="61">
        <f t="shared" si="301"/>
        <v>-97.913442075866811</v>
      </c>
      <c r="AV335" s="32" t="str">
        <f t="shared" si="276"/>
        <v>-0.0000333333333333333</v>
      </c>
      <c r="AW335" s="32" t="str">
        <f t="shared" si="277"/>
        <v>0.00446088580428699i</v>
      </c>
      <c r="AX335" s="32">
        <f t="shared" si="302"/>
        <v>4.4608858042869898E-3</v>
      </c>
      <c r="AY335" s="32">
        <f t="shared" si="303"/>
        <v>1.5707963267948966</v>
      </c>
      <c r="AZ335" s="32" t="str">
        <f t="shared" si="278"/>
        <v>1+1.81997945140181i</v>
      </c>
      <c r="BA335" s="32">
        <f t="shared" si="304"/>
        <v>2.0766138792574877</v>
      </c>
      <c r="BB335" s="32">
        <f t="shared" si="305"/>
        <v>1.0683702917261153</v>
      </c>
      <c r="BC335" s="32" t="str">
        <f t="shared" si="279"/>
        <v>1+87.3590136672872i</v>
      </c>
      <c r="BD335" s="32">
        <f t="shared" si="306"/>
        <v>87.364736987650076</v>
      </c>
      <c r="BE335" s="32">
        <f t="shared" si="307"/>
        <v>1.5593498110502706</v>
      </c>
      <c r="BF335" s="59" t="str">
        <f t="shared" si="308"/>
        <v>-0.148221252010003+0.277231990382721i</v>
      </c>
      <c r="BG335" s="50">
        <f t="shared" si="309"/>
        <v>-10.051238779795465</v>
      </c>
      <c r="BH335" s="61">
        <f t="shared" si="310"/>
        <v>118.13105428463591</v>
      </c>
      <c r="BI335" s="59" t="str">
        <f t="shared" si="311"/>
        <v>0.10343239205741-0.00487258087043506i</v>
      </c>
      <c r="BJ335" s="64">
        <f t="shared" si="312"/>
        <v>-19.697241253740874</v>
      </c>
      <c r="BK335" s="61">
        <f t="shared" si="313"/>
        <v>-2.6971441601179902</v>
      </c>
      <c r="BL335" s="59" t="str">
        <f t="shared" si="318"/>
        <v>0.472770810496095+0.174110806169354i</v>
      </c>
      <c r="BM335" s="64">
        <f t="shared" si="314"/>
        <v>-5.9546250468312341</v>
      </c>
      <c r="BN335" s="61">
        <f t="shared" si="319"/>
        <v>20.217612208769044</v>
      </c>
      <c r="BO335" s="50">
        <f t="shared" si="315"/>
        <v>-19.697241253740874</v>
      </c>
      <c r="BP335" s="61">
        <f t="shared" si="316"/>
        <v>-2.6971441601179902</v>
      </c>
    </row>
    <row r="336" spans="14:68" x14ac:dyDescent="0.25">
      <c r="N336" s="11">
        <v>18</v>
      </c>
      <c r="O336" s="51">
        <f t="shared" si="320"/>
        <v>15135.612484362096</v>
      </c>
      <c r="P336" s="49" t="str">
        <f t="shared" si="267"/>
        <v>37.1583961085025</v>
      </c>
      <c r="Q336" s="18" t="str">
        <f t="shared" si="268"/>
        <v>1+74.5402118744869i</v>
      </c>
      <c r="R336" s="18">
        <f t="shared" si="280"/>
        <v>74.54691936152291</v>
      </c>
      <c r="S336" s="18">
        <f t="shared" si="281"/>
        <v>1.5573815538990698</v>
      </c>
      <c r="T336" s="18" t="str">
        <f t="shared" si="269"/>
        <v>1+0.0855898721792171i</v>
      </c>
      <c r="U336" s="18">
        <f t="shared" si="282"/>
        <v>1.0036561294684823</v>
      </c>
      <c r="V336" s="18">
        <f t="shared" si="283"/>
        <v>8.5381786228355405E-2</v>
      </c>
      <c r="W336" s="32" t="str">
        <f t="shared" si="270"/>
        <v>1-0.749159037448295i</v>
      </c>
      <c r="X336" s="18">
        <f t="shared" si="284"/>
        <v>1.249495603589887</v>
      </c>
      <c r="Y336" s="18">
        <f t="shared" si="285"/>
        <v>-0.64296267546711805</v>
      </c>
      <c r="Z336" s="32" t="str">
        <f t="shared" si="271"/>
        <v>0.994272830868081+0.180372730629535i</v>
      </c>
      <c r="AA336" s="18">
        <f t="shared" si="286"/>
        <v>1.0105012539117317</v>
      </c>
      <c r="AB336" s="18">
        <f t="shared" si="287"/>
        <v>0.17946000321843522</v>
      </c>
      <c r="AC336" s="32" t="str">
        <f>IMDIV(IMSUM(COMPLEX(0,2*PI()*O336*Constants!$B$61*Constants!$B$62),COMPLEX(1,0)),IMSUM(COMPLEX(0,2*PI()*O336*Constants!$B$61*Constants!$B$62),COMPLEX(2,0)))</f>
        <v>0.517456462186334+0.0917796438275084i</v>
      </c>
      <c r="AD336" s="18">
        <f t="shared" si="288"/>
        <v>0.52553277089017125</v>
      </c>
      <c r="AE336" s="18">
        <f t="shared" si="289"/>
        <v>0.17554129850849498</v>
      </c>
      <c r="AF336" s="66" t="str">
        <f t="shared" si="290"/>
        <v>-0.169391738243336-0.277476121069032i</v>
      </c>
      <c r="AG336" s="64">
        <f t="shared" si="291"/>
        <v>-9.7598024289593965</v>
      </c>
      <c r="AH336" s="61">
        <f t="shared" si="292"/>
        <v>-121.40294706151279</v>
      </c>
      <c r="AI336" s="50" t="str">
        <f t="shared" si="272"/>
        <v>107.538871525172</v>
      </c>
      <c r="AJ336" s="50" t="str">
        <f t="shared" si="273"/>
        <v>1+70.8617448237026i</v>
      </c>
      <c r="AK336" s="50">
        <f t="shared" si="293"/>
        <v>70.868800465787075</v>
      </c>
      <c r="AL336" s="50">
        <f t="shared" si="294"/>
        <v>1.5566852767820045</v>
      </c>
      <c r="AM336" s="50" t="str">
        <f t="shared" si="274"/>
        <v>1+0.0855898721792171i</v>
      </c>
      <c r="AN336" s="50">
        <f t="shared" si="295"/>
        <v>1.0036561294684823</v>
      </c>
      <c r="AO336" s="50">
        <f t="shared" si="296"/>
        <v>8.5381786228355405E-2</v>
      </c>
      <c r="AP336" s="50" t="str">
        <f t="shared" si="275"/>
        <v>1-0.246085717492772i</v>
      </c>
      <c r="AQ336" s="50">
        <f t="shared" si="297"/>
        <v>1.0298340547651026</v>
      </c>
      <c r="AR336" s="50">
        <f t="shared" si="298"/>
        <v>-0.24129125309624461</v>
      </c>
      <c r="AS336" s="59" t="str">
        <f t="shared" si="299"/>
        <v>-0.221655039911306-1.55267921241575i</v>
      </c>
      <c r="AT336" s="50">
        <f t="shared" si="300"/>
        <v>3.9092516648078397</v>
      </c>
      <c r="AU336" s="61">
        <f t="shared" si="301"/>
        <v>-98.124450827428063</v>
      </c>
      <c r="AV336" s="32" t="str">
        <f t="shared" si="276"/>
        <v>-0.0000333333333333333</v>
      </c>
      <c r="AW336" s="32" t="str">
        <f t="shared" si="277"/>
        <v>0.00456479318289158i</v>
      </c>
      <c r="AX336" s="32">
        <f t="shared" si="302"/>
        <v>4.5647931828915796E-3</v>
      </c>
      <c r="AY336" s="32">
        <f t="shared" si="303"/>
        <v>1.5707963267948966</v>
      </c>
      <c r="AZ336" s="32" t="str">
        <f t="shared" si="278"/>
        <v>1+1.86237221871445i</v>
      </c>
      <c r="BA336" s="32">
        <f t="shared" si="304"/>
        <v>2.1138661927944691</v>
      </c>
      <c r="BB336" s="32">
        <f t="shared" si="305"/>
        <v>1.0780278040907112</v>
      </c>
      <c r="BC336" s="32" t="str">
        <f t="shared" si="279"/>
        <v>1+89.3938664982936i</v>
      </c>
      <c r="BD336" s="32">
        <f t="shared" si="306"/>
        <v>89.399459548225124</v>
      </c>
      <c r="BE336" s="32">
        <f t="shared" si="307"/>
        <v>1.5596103435716411</v>
      </c>
      <c r="BF336" s="59" t="str">
        <f t="shared" si="308"/>
        <v>-0.143043127125185+0.273701811877569i</v>
      </c>
      <c r="BG336" s="50">
        <f t="shared" si="309"/>
        <v>-10.2056992044762</v>
      </c>
      <c r="BH336" s="61">
        <f t="shared" si="310"/>
        <v>117.59264699944971</v>
      </c>
      <c r="BI336" s="59" t="str">
        <f t="shared" si="311"/>
        <v>0.100176041036851-0.00667177361401119i</v>
      </c>
      <c r="BJ336" s="64">
        <f t="shared" si="312"/>
        <v>-19.965501633435625</v>
      </c>
      <c r="BK336" s="61">
        <f t="shared" si="313"/>
        <v>-3.8103000620631016</v>
      </c>
      <c r="BL336" s="59" t="str">
        <f t="shared" si="318"/>
        <v>0.456677343754798+0.161432703930699i</v>
      </c>
      <c r="BM336" s="64">
        <f t="shared" si="314"/>
        <v>-6.2964475396683648</v>
      </c>
      <c r="BN336" s="61">
        <f t="shared" si="319"/>
        <v>19.468196172021653</v>
      </c>
      <c r="BO336" s="50">
        <f t="shared" si="315"/>
        <v>-19.965501633435625</v>
      </c>
      <c r="BP336" s="61">
        <f t="shared" si="316"/>
        <v>-3.8103000620631016</v>
      </c>
    </row>
    <row r="337" spans="14:68" x14ac:dyDescent="0.25">
      <c r="N337" s="11">
        <v>19</v>
      </c>
      <c r="O337" s="51">
        <f t="shared" si="320"/>
        <v>15488.166189124853</v>
      </c>
      <c r="P337" s="49" t="str">
        <f t="shared" si="267"/>
        <v>37.1583961085025</v>
      </c>
      <c r="Q337" s="18" t="str">
        <f t="shared" si="268"/>
        <v>1+76.2764764542853i</v>
      </c>
      <c r="R337" s="18">
        <f t="shared" si="280"/>
        <v>76.283031273548247</v>
      </c>
      <c r="S337" s="18">
        <f t="shared" si="281"/>
        <v>1.557686876018902</v>
      </c>
      <c r="T337" s="18" t="str">
        <f t="shared" si="269"/>
        <v>1+0.0875835164111985i</v>
      </c>
      <c r="U337" s="18">
        <f t="shared" si="282"/>
        <v>1.0038281089643539</v>
      </c>
      <c r="V337" s="18">
        <f t="shared" si="283"/>
        <v>8.736059419526046E-2</v>
      </c>
      <c r="W337" s="32" t="str">
        <f t="shared" si="270"/>
        <v>1-0.766609193124636i</v>
      </c>
      <c r="X337" s="18">
        <f t="shared" si="284"/>
        <v>1.2600355768720206</v>
      </c>
      <c r="Y337" s="18">
        <f t="shared" si="285"/>
        <v>-0.65404652593758017</v>
      </c>
      <c r="Z337" s="32" t="str">
        <f t="shared" si="271"/>
        <v>0.994002917702451+0.184574151251748i</v>
      </c>
      <c r="AA337" s="18">
        <f t="shared" si="286"/>
        <v>1.0109942718489007</v>
      </c>
      <c r="AB337" s="18">
        <f t="shared" si="287"/>
        <v>0.18359666138705547</v>
      </c>
      <c r="AC337" s="32" t="str">
        <f>IMDIV(IMSUM(COMPLEX(0,2*PI()*O337*Constants!$B$61*Constants!$B$62),COMPLEX(1,0)),IMSUM(COMPLEX(0,2*PI()*O337*Constants!$B$61*Constants!$B$62),COMPLEX(2,0)))</f>
        <v>0.518249132863396+0.0937631888399286i</v>
      </c>
      <c r="AD337" s="18">
        <f t="shared" si="288"/>
        <v>0.52666279467520205</v>
      </c>
      <c r="AE337" s="18">
        <f t="shared" si="289"/>
        <v>0.17898682928496573</v>
      </c>
      <c r="AF337" s="66" t="str">
        <f t="shared" si="290"/>
        <v>-0.169997685207402-0.272246407193739i</v>
      </c>
      <c r="AG337" s="64">
        <f t="shared" si="291"/>
        <v>-9.87089755846314</v>
      </c>
      <c r="AH337" s="61">
        <f t="shared" si="292"/>
        <v>-121.98171992078824</v>
      </c>
      <c r="AI337" s="50" t="str">
        <f t="shared" si="272"/>
        <v>107.538871525172</v>
      </c>
      <c r="AJ337" s="50" t="str">
        <f t="shared" si="273"/>
        <v>1+72.512326898882i</v>
      </c>
      <c r="AK337" s="50">
        <f t="shared" si="293"/>
        <v>72.519221950392748</v>
      </c>
      <c r="AL337" s="50">
        <f t="shared" si="294"/>
        <v>1.5570064423023005</v>
      </c>
      <c r="AM337" s="50" t="str">
        <f t="shared" si="274"/>
        <v>1+0.0875835164111985i</v>
      </c>
      <c r="AN337" s="50">
        <f t="shared" si="295"/>
        <v>1.0038281089643539</v>
      </c>
      <c r="AO337" s="50">
        <f t="shared" si="296"/>
        <v>8.736059419526046E-2</v>
      </c>
      <c r="AP337" s="50" t="str">
        <f t="shared" si="275"/>
        <v>1-0.251817790210735i</v>
      </c>
      <c r="AQ337" s="50">
        <f t="shared" si="297"/>
        <v>1.0312187932086079</v>
      </c>
      <c r="AR337" s="50">
        <f t="shared" si="298"/>
        <v>-0.24668879138575051</v>
      </c>
      <c r="AS337" s="59" t="str">
        <f t="shared" si="299"/>
        <v>-0.22262072937515-1.51882136723988i</v>
      </c>
      <c r="AT337" s="50">
        <f t="shared" si="300"/>
        <v>3.7224502104510422</v>
      </c>
      <c r="AU337" s="61">
        <f t="shared" si="301"/>
        <v>-98.338731075044592</v>
      </c>
      <c r="AV337" s="32" t="str">
        <f t="shared" si="276"/>
        <v>-0.0000333333333333333</v>
      </c>
      <c r="AW337" s="32" t="str">
        <f t="shared" si="277"/>
        <v>0.00467112087526392i</v>
      </c>
      <c r="AX337" s="32">
        <f t="shared" si="302"/>
        <v>4.6711208752639203E-3</v>
      </c>
      <c r="AY337" s="32">
        <f t="shared" si="303"/>
        <v>1.5707963267948966</v>
      </c>
      <c r="AZ337" s="32" t="str">
        <f t="shared" si="278"/>
        <v>1+1.90575244042886i</v>
      </c>
      <c r="BA337" s="32">
        <f t="shared" si="304"/>
        <v>2.1521831623262355</v>
      </c>
      <c r="BB337" s="32">
        <f t="shared" si="305"/>
        <v>1.0875632635986185</v>
      </c>
      <c r="BC337" s="32" t="str">
        <f t="shared" si="279"/>
        <v>1+91.4761171405852i</v>
      </c>
      <c r="BD337" s="32">
        <f t="shared" si="306"/>
        <v>91.481582884852102</v>
      </c>
      <c r="BE337" s="32">
        <f t="shared" si="307"/>
        <v>1.5598649471162132</v>
      </c>
      <c r="BF337" s="59" t="str">
        <f t="shared" si="308"/>
        <v>-0.137995054824868+0.270120458477317i</v>
      </c>
      <c r="BG337" s="50">
        <f t="shared" si="309"/>
        <v>-10.361758386238938</v>
      </c>
      <c r="BH337" s="61">
        <f t="shared" si="310"/>
        <v>117.0608931224818</v>
      </c>
      <c r="BI337" s="59" t="str">
        <f t="shared" si="311"/>
        <v>0.0969981642202712-0.00835119478173268i</v>
      </c>
      <c r="BJ337" s="64">
        <f t="shared" si="312"/>
        <v>-20.232655944702081</v>
      </c>
      <c r="BK337" s="61">
        <f t="shared" si="313"/>
        <v>-4.9208267983064289</v>
      </c>
      <c r="BL337" s="59" t="str">
        <f t="shared" si="318"/>
        <v>0.440985283819258+0.149455424356078i</v>
      </c>
      <c r="BM337" s="64">
        <f t="shared" si="314"/>
        <v>-6.6393081757878916</v>
      </c>
      <c r="BN337" s="61">
        <f t="shared" si="319"/>
        <v>18.722162047437212</v>
      </c>
      <c r="BO337" s="50">
        <f t="shared" si="315"/>
        <v>-20.232655944702081</v>
      </c>
      <c r="BP337" s="61">
        <f t="shared" si="316"/>
        <v>-4.9208267983064289</v>
      </c>
    </row>
    <row r="338" spans="14:68" x14ac:dyDescent="0.25">
      <c r="N338" s="11">
        <v>20</v>
      </c>
      <c r="O338" s="51">
        <f t="shared" si="320"/>
        <v>15848.931924611146</v>
      </c>
      <c r="P338" s="49" t="str">
        <f t="shared" si="267"/>
        <v>37.1583961085025</v>
      </c>
      <c r="Q338" s="18" t="str">
        <f t="shared" si="268"/>
        <v>1+78.0531838315379i</v>
      </c>
      <c r="R338" s="18">
        <f t="shared" si="280"/>
        <v>78.059589457284801</v>
      </c>
      <c r="S338" s="18">
        <f t="shared" si="281"/>
        <v>1.5579852505207012</v>
      </c>
      <c r="T338" s="18" t="str">
        <f t="shared" si="269"/>
        <v>1+0.0896235985828857i</v>
      </c>
      <c r="U338" s="18">
        <f t="shared" si="282"/>
        <v>1.0040081620300436</v>
      </c>
      <c r="V338" s="18">
        <f t="shared" si="283"/>
        <v>8.9384784597037942E-2</v>
      </c>
      <c r="W338" s="32" t="str">
        <f t="shared" si="270"/>
        <v>1-0.784465815142442i</v>
      </c>
      <c r="X338" s="18">
        <f t="shared" si="284"/>
        <v>1.2709786052987264</v>
      </c>
      <c r="Y338" s="18">
        <f t="shared" si="285"/>
        <v>-0.66519684404405288</v>
      </c>
      <c r="Z338" s="32" t="str">
        <f t="shared" si="271"/>
        <v>0.993720283921226+0.188873435532081i</v>
      </c>
      <c r="AA338" s="18">
        <f t="shared" si="286"/>
        <v>1.01151034464615</v>
      </c>
      <c r="AB338" s="18">
        <f t="shared" si="287"/>
        <v>0.18782661355287866</v>
      </c>
      <c r="AC338" s="32" t="str">
        <f>IMDIV(IMSUM(COMPLEX(0,2*PI()*O338*Constants!$B$61*Constants!$B$62),COMPLEX(1,0)),IMSUM(COMPLEX(0,2*PI()*O338*Constants!$B$61*Constants!$B$62),COMPLEX(2,0)))</f>
        <v>0.51907637453069+0.0957824576846389i</v>
      </c>
      <c r="AD338" s="18">
        <f t="shared" si="288"/>
        <v>0.52783952276808033</v>
      </c>
      <c r="AE338" s="18">
        <f t="shared" si="289"/>
        <v>0.18247224059233025</v>
      </c>
      <c r="AF338" s="66" t="str">
        <f t="shared" si="290"/>
        <v>-0.17061575295301-0.267150357698803i</v>
      </c>
      <c r="AG338" s="64">
        <f t="shared" si="291"/>
        <v>-9.9792448501232194</v>
      </c>
      <c r="AH338" s="61">
        <f t="shared" si="292"/>
        <v>-122.56436317009687</v>
      </c>
      <c r="AI338" s="50" t="str">
        <f t="shared" si="272"/>
        <v>107.538871525172</v>
      </c>
      <c r="AJ338" s="50" t="str">
        <f t="shared" si="273"/>
        <v>1+74.2013559695971i</v>
      </c>
      <c r="AK338" s="50">
        <f t="shared" si="293"/>
        <v>74.208094084990918</v>
      </c>
      <c r="AL338" s="50">
        <f t="shared" si="294"/>
        <v>1.5573202999518878</v>
      </c>
      <c r="AM338" s="50" t="str">
        <f t="shared" si="274"/>
        <v>1+0.0896235985828857i</v>
      </c>
      <c r="AN338" s="50">
        <f t="shared" si="295"/>
        <v>1.0040081620300436</v>
      </c>
      <c r="AO338" s="50">
        <f t="shared" si="296"/>
        <v>8.9384784597037942E-2</v>
      </c>
      <c r="AP338" s="50" t="str">
        <f t="shared" si="275"/>
        <v>1-0.25768338005427i</v>
      </c>
      <c r="AQ338" s="50">
        <f t="shared" si="297"/>
        <v>1.0326668021952643</v>
      </c>
      <c r="AR338" s="50">
        <f t="shared" si="298"/>
        <v>-0.25219690452770976</v>
      </c>
      <c r="AS338" s="59" t="str">
        <f t="shared" si="299"/>
        <v>-0.223542971810647-1.48576762237626i</v>
      </c>
      <c r="AT338" s="50">
        <f t="shared" si="300"/>
        <v>3.5362331270061302</v>
      </c>
      <c r="AU338" s="61">
        <f t="shared" si="301"/>
        <v>-98.556327862895856</v>
      </c>
      <c r="AV338" s="32" t="str">
        <f t="shared" si="276"/>
        <v>-0.0000333333333333333</v>
      </c>
      <c r="AW338" s="32" t="str">
        <f t="shared" si="277"/>
        <v>0.0047799252577539i</v>
      </c>
      <c r="AX338" s="32">
        <f t="shared" si="302"/>
        <v>4.7799252577538998E-3</v>
      </c>
      <c r="AY338" s="32">
        <f t="shared" si="303"/>
        <v>1.5707963267948966</v>
      </c>
      <c r="AZ338" s="32" t="str">
        <f t="shared" si="278"/>
        <v>1+1.95014311731279i</v>
      </c>
      <c r="BA338" s="32">
        <f t="shared" si="304"/>
        <v>2.1915880493382982</v>
      </c>
      <c r="BB338" s="32">
        <f t="shared" si="305"/>
        <v>1.0969747891541748</v>
      </c>
      <c r="BC338" s="32" t="str">
        <f t="shared" si="279"/>
        <v>1+93.6068696310141i</v>
      </c>
      <c r="BD338" s="32">
        <f t="shared" si="306"/>
        <v>93.612210966933532</v>
      </c>
      <c r="BE338" s="32">
        <f t="shared" si="307"/>
        <v>1.5601137565460468</v>
      </c>
      <c r="BF338" s="59" t="str">
        <f t="shared" si="308"/>
        <v>-0.133077347192695+0.26649348243795i</v>
      </c>
      <c r="BG338" s="50">
        <f t="shared" si="309"/>
        <v>-10.519375626812401</v>
      </c>
      <c r="BH338" s="61">
        <f t="shared" si="310"/>
        <v>116.53590815960139</v>
      </c>
      <c r="BI338" s="59" t="str">
        <f t="shared" si="311"/>
        <v>0.0938989209499688-0.00991632525908432i</v>
      </c>
      <c r="BJ338" s="64">
        <f t="shared" si="312"/>
        <v>-20.498620476935624</v>
      </c>
      <c r="BK338" s="61">
        <f t="shared" si="313"/>
        <v>-6.0284550104954562</v>
      </c>
      <c r="BL338" s="59" t="str">
        <f t="shared" si="318"/>
        <v>0.425695893452735+0.138149268698283i</v>
      </c>
      <c r="BM338" s="64">
        <f t="shared" si="314"/>
        <v>-6.9831424998062683</v>
      </c>
      <c r="BN338" s="61">
        <f t="shared" si="319"/>
        <v>17.979580296705571</v>
      </c>
      <c r="BO338" s="50">
        <f t="shared" si="315"/>
        <v>-20.498620476935624</v>
      </c>
      <c r="BP338" s="61">
        <f t="shared" si="316"/>
        <v>-6.0284550104954562</v>
      </c>
    </row>
    <row r="339" spans="14:68" x14ac:dyDescent="0.25">
      <c r="N339" s="11">
        <v>21</v>
      </c>
      <c r="O339" s="51">
        <f t="shared" si="320"/>
        <v>16218.100973589309</v>
      </c>
      <c r="P339" s="49" t="str">
        <f t="shared" ref="P339:P402" si="321">COMPLEX(Adc,0)</f>
        <v>37.1583961085025</v>
      </c>
      <c r="Q339" s="18" t="str">
        <f t="shared" ref="Q339:Q402" si="322">IMSUM(COMPLEX(1,0),IMDIV(COMPLEX(0,2*PI()*O339),COMPLEX(wp_lf,0)))</f>
        <v>1+79.871276040014i</v>
      </c>
      <c r="R339" s="18">
        <f t="shared" si="280"/>
        <v>79.877535867477235</v>
      </c>
      <c r="S339" s="18">
        <f t="shared" si="281"/>
        <v>1.558276835393948</v>
      </c>
      <c r="T339" s="18" t="str">
        <f t="shared" ref="T339:T402" si="323">IMSUM(COMPLEX(1,0),IMDIV(COMPLEX(0,2*PI()*O339),COMPLEX(wz_esr,0)))</f>
        <v>1+0.09171120037285i</v>
      </c>
      <c r="U339" s="18">
        <f t="shared" si="282"/>
        <v>1.0041966661335959</v>
      </c>
      <c r="V339" s="18">
        <f t="shared" si="283"/>
        <v>9.1455364298994216E-2</v>
      </c>
      <c r="W339" s="32" t="str">
        <f t="shared" ref="W339:W402" si="324">IMSUB(COMPLEX(1,0),IMDIV(COMPLEX(0,2*PI()*O339),COMPLEX(wz_rhp,0)))</f>
        <v>1-0.802738371319068i</v>
      </c>
      <c r="X339" s="18">
        <f t="shared" si="284"/>
        <v>1.2823372773135739</v>
      </c>
      <c r="Y339" s="18">
        <f t="shared" si="285"/>
        <v>-0.67640845184097009</v>
      </c>
      <c r="Z339" s="32" t="str">
        <f t="shared" ref="Z339:Z402" si="325">IMSUM(COMPLEX(1,0),IMDIV(COMPLEX(0,2*PI()*O339),COMPLEX(Q*(wsl/2),0)),IMDIV(IMPOWER(COMPLEX(0,2*PI()*O339),2),IMPOWER(COMPLEX(wsl/2,0),2)))</f>
        <v>0.993424330020262+0.193272863007969i</v>
      </c>
      <c r="AA339" s="18">
        <f t="shared" si="286"/>
        <v>1.0120505417475472</v>
      </c>
      <c r="AB339" s="18">
        <f t="shared" si="287"/>
        <v>0.19215181988196406</v>
      </c>
      <c r="AC339" s="32" t="str">
        <f>IMDIV(IMSUM(COMPLEX(0,2*PI()*O339*Constants!$B$61*Constants!$B$62),COMPLEX(1,0)),IMSUM(COMPLEX(0,2*PI()*O339*Constants!$B$61*Constants!$B$62),COMPLEX(2,0)))</f>
        <v>0.519939563361181+0.0978375975459126i</v>
      </c>
      <c r="AD339" s="18">
        <f t="shared" si="288"/>
        <v>0.52906459439445719</v>
      </c>
      <c r="AE339" s="18">
        <f t="shared" si="289"/>
        <v>0.18599617527014645</v>
      </c>
      <c r="AF339" s="66" t="str">
        <f t="shared" si="290"/>
        <v>-0.171246921000634-0.262184606088144i</v>
      </c>
      <c r="AG339" s="64">
        <f t="shared" si="291"/>
        <v>-10.084803180987452</v>
      </c>
      <c r="AH339" s="61">
        <f t="shared" si="292"/>
        <v>-123.15072156681667</v>
      </c>
      <c r="AI339" s="50" t="str">
        <f t="shared" ref="AI339:AI402" si="326">COMPLEX($B$72,0)</f>
        <v>107.538871525172</v>
      </c>
      <c r="AJ339" s="50" t="str">
        <f t="shared" ref="AJ339:AJ402" si="327">IMSUM(COMPLEX(1,0),IMDIV(COMPLEX(0,2*PI()*O339),COMPLEX(wp_lf_DCM,0)))</f>
        <v>1+75.9297275814182i</v>
      </c>
      <c r="AK339" s="50">
        <f t="shared" si="293"/>
        <v>75.936312332035072</v>
      </c>
      <c r="AL339" s="50">
        <f t="shared" si="294"/>
        <v>1.5576270158947685</v>
      </c>
      <c r="AM339" s="50" t="str">
        <f t="shared" ref="AM339:AM402" si="328">IMSUM(COMPLEX(1,0),IMDIV(COMPLEX(0,2*PI()*O339),COMPLEX(wz1_dcm,0)))</f>
        <v>1+0.09171120037285i</v>
      </c>
      <c r="AN339" s="50">
        <f t="shared" si="295"/>
        <v>1.0041966661335959</v>
      </c>
      <c r="AO339" s="50">
        <f t="shared" si="296"/>
        <v>9.1455364298994216E-2</v>
      </c>
      <c r="AP339" s="50" t="str">
        <f t="shared" ref="AP339:AP402" si="329">IMSUB(COMPLEX(1,0),IMDIV(COMPLEX(0,2*PI()*O339),COMPLEX(wz2_dcm,0)))</f>
        <v>1-0.263685597036752i</v>
      </c>
      <c r="AQ339" s="50">
        <f t="shared" si="297"/>
        <v>1.0341808807382915</v>
      </c>
      <c r="AR339" s="50">
        <f t="shared" si="298"/>
        <v>-0.25781717553269229</v>
      </c>
      <c r="AS339" s="59" t="str">
        <f t="shared" si="299"/>
        <v>-0.224423721234913-1.45350053228319i</v>
      </c>
      <c r="AT339" s="50">
        <f t="shared" si="300"/>
        <v>3.3506250354623708</v>
      </c>
      <c r="AU339" s="61">
        <f t="shared" si="301"/>
        <v>-98.777283722170012</v>
      </c>
      <c r="AV339" s="32" t="str">
        <f t="shared" ref="AV339:AV402" si="330">COMPLEX(Adc_ea,0)</f>
        <v>-0.0000333333333333333</v>
      </c>
      <c r="AW339" s="32" t="str">
        <f t="shared" ref="AW339:AW402" si="331">COMPLEX(0,2*PI()*O339*wp0_ea)</f>
        <v>0.00489126401988534i</v>
      </c>
      <c r="AX339" s="32">
        <f t="shared" si="302"/>
        <v>4.8912640198853401E-3</v>
      </c>
      <c r="AY339" s="32">
        <f t="shared" si="303"/>
        <v>1.5707963267948966</v>
      </c>
      <c r="AZ339" s="32" t="str">
        <f t="shared" ref="AZ339:AZ402" si="332">IMSUM(COMPLEX(1,0),IMDIV(COMPLEX(0,2*PI()*O339),COMPLEX(wp1_ea,0)))</f>
        <v>1+1.99556778589072i</v>
      </c>
      <c r="BA339" s="32">
        <f t="shared" si="304"/>
        <v>2.2321045647739695</v>
      </c>
      <c r="BB339" s="32">
        <f t="shared" si="305"/>
        <v>1.1062607008527565</v>
      </c>
      <c r="BC339" s="32" t="str">
        <f t="shared" ref="BC339:BC402" si="333">IMSUM(COMPLEX(1,0),IMDIV(COMPLEX(0,2*PI()*O339),COMPLEX(wz_ea,0)))</f>
        <v>1+95.7872537227546i</v>
      </c>
      <c r="BD339" s="32">
        <f t="shared" si="306"/>
        <v>95.792473481726987</v>
      </c>
      <c r="BE339" s="32">
        <f t="shared" si="307"/>
        <v>1.5603569036599019</v>
      </c>
      <c r="BF339" s="59" t="str">
        <f t="shared" si="308"/>
        <v>-0.128290031218038+0.262826324551854i</v>
      </c>
      <c r="BG339" s="50">
        <f t="shared" si="309"/>
        <v>-10.6785101729176</v>
      </c>
      <c r="BH339" s="61">
        <f t="shared" si="310"/>
        <v>116.01779591376615</v>
      </c>
      <c r="BI339" s="59" t="str">
        <f t="shared" si="311"/>
        <v>0.0908782892133868-0.0113725275374813i</v>
      </c>
      <c r="BJ339" s="64">
        <f t="shared" si="312"/>
        <v>-20.763313353905044</v>
      </c>
      <c r="BK339" s="61">
        <f t="shared" si="313"/>
        <v>-7.1329256530504965</v>
      </c>
      <c r="BL339" s="59" t="str">
        <f t="shared" si="318"/>
        <v>0.410809528837449+0.127485166867623i</v>
      </c>
      <c r="BM339" s="64">
        <f t="shared" si="314"/>
        <v>-7.3278851374552403</v>
      </c>
      <c r="BN339" s="61">
        <f t="shared" si="319"/>
        <v>17.240512191596132</v>
      </c>
      <c r="BO339" s="50">
        <f t="shared" si="315"/>
        <v>-20.763313353905044</v>
      </c>
      <c r="BP339" s="61">
        <f t="shared" si="316"/>
        <v>-7.1329256530504965</v>
      </c>
    </row>
    <row r="340" spans="14:68" x14ac:dyDescent="0.25">
      <c r="N340" s="11">
        <v>22</v>
      </c>
      <c r="O340" s="51">
        <f t="shared" si="320"/>
        <v>16595.869074375616</v>
      </c>
      <c r="P340" s="49" t="str">
        <f t="shared" si="321"/>
        <v>37.1583961085025</v>
      </c>
      <c r="Q340" s="18" t="str">
        <f t="shared" si="322"/>
        <v>1+81.7317170562683i</v>
      </c>
      <c r="R340" s="18">
        <f t="shared" ref="R340:R403" si="334">IMABS(Q340)</f>
        <v>81.73783440345052</v>
      </c>
      <c r="S340" s="18">
        <f t="shared" ref="S340:S403" si="335">IMARGUMENT(Q340)</f>
        <v>1.5585617850423594</v>
      </c>
      <c r="T340" s="18" t="str">
        <f t="shared" si="323"/>
        <v>1+0.0938474286551938i</v>
      </c>
      <c r="U340" s="18">
        <f t="shared" ref="U340:U403" si="336">IMABS(T340)</f>
        <v>1.004394016243223</v>
      </c>
      <c r="V340" s="18">
        <f t="shared" ref="V340:V403" si="337">IMARGUMENT(T340)</f>
        <v>9.3573360093043401E-2</v>
      </c>
      <c r="W340" s="32" t="str">
        <f t="shared" si="324"/>
        <v>1-0.821436550005671i</v>
      </c>
      <c r="X340" s="18">
        <f t="shared" ref="X340:X403" si="338">IMABS(W340)</f>
        <v>1.2941244166173587</v>
      </c>
      <c r="Y340" s="18">
        <f t="shared" ref="Y340:Y403" si="339">IMARGUMENT(W340)</f>
        <v>-0.6876760200752623</v>
      </c>
      <c r="Z340" s="32" t="str">
        <f t="shared" si="325"/>
        <v>0.993114428241655+0.197774766314093i</v>
      </c>
      <c r="AA340" s="18">
        <f t="shared" ref="AA340:AA403" si="340">IMABS(Z340)</f>
        <v>1.0126159813929185</v>
      </c>
      <c r="AB340" s="18">
        <f t="shared" ref="AB340:AB403" si="341">IMARGUMENT(Z340)</f>
        <v>0.19657427168278815</v>
      </c>
      <c r="AC340" s="32" t="str">
        <f>IMDIV(IMSUM(COMPLEX(0,2*PI()*O340*Constants!$B$61*Constants!$B$62),COMPLEX(1,0)),IMSUM(COMPLEX(0,2*PI()*O340*Constants!$B$61*Constants!$B$62),COMPLEX(2,0)))</f>
        <v>0.520840118168187+0.0999287173880936i</v>
      </c>
      <c r="AD340" s="18">
        <f t="shared" ref="AD340:AD403" si="342">IMABS(AC340)</f>
        <v>0.53033968100857809</v>
      </c>
      <c r="AE340" s="18">
        <f t="shared" ref="AE340:AE403" si="343">IMARGUMENT(AC340)</f>
        <v>0.18955714137972948</v>
      </c>
      <c r="AF340" s="66" t="str">
        <f t="shared" ref="AF340:AF403" si="344">(IMDIV(IMPRODUCT(P340,T340,W340,AC340),IMPRODUCT(Q340,Z340)))</f>
        <v>-0.171892167750402-0.257345814249264i</v>
      </c>
      <c r="AG340" s="64">
        <f t="shared" ref="AG340:AG403" si="345">20*LOG(IMABS(AF340))</f>
        <v>-10.187533468117664</v>
      </c>
      <c r="AH340" s="61">
        <f t="shared" ref="AH340:AH403" si="346">(180/PI())*IMARGUMENT(AF340)</f>
        <v>-123.74063935843861</v>
      </c>
      <c r="AI340" s="50" t="str">
        <f t="shared" si="326"/>
        <v>107.538871525172</v>
      </c>
      <c r="AJ340" s="50" t="str">
        <f t="shared" si="327"/>
        <v>1+77.6983581398522i</v>
      </c>
      <c r="AK340" s="50">
        <f t="shared" ref="AK340:AK403" si="347">IMABS(AJ340)</f>
        <v>77.704793015802693</v>
      </c>
      <c r="AL340" s="50">
        <f t="shared" ref="AL340:AL403" si="348">IMARGUMENT(AJ340)</f>
        <v>1.5579267525248297</v>
      </c>
      <c r="AM340" s="50" t="str">
        <f t="shared" si="328"/>
        <v>1+0.0938474286551938i</v>
      </c>
      <c r="AN340" s="50">
        <f t="shared" ref="AN340:AN403" si="349">IMABS(AM340)</f>
        <v>1.004394016243223</v>
      </c>
      <c r="AO340" s="50">
        <f t="shared" ref="AO340:AO403" si="350">IMARGUMENT(AM340)</f>
        <v>9.3573360093043401E-2</v>
      </c>
      <c r="AP340" s="50" t="str">
        <f t="shared" si="329"/>
        <v>1-0.269827623613076i</v>
      </c>
      <c r="AQ340" s="50">
        <f t="shared" ref="AQ340:AQ403" si="351">IMABS(AP340)</f>
        <v>1.0357639434082844</v>
      </c>
      <c r="AR340" s="50">
        <f t="shared" ref="AR340:AR403" si="352">IMARGUMENT(AP340)</f>
        <v>-0.26355116351126623</v>
      </c>
      <c r="AS340" s="59" t="str">
        <f t="shared" ref="AS340:AS403" si="353">(IMDIV(IMPRODUCT(AI340,AM340,AP340),IMPRODUCT(AJ340)))</f>
        <v>-0.225264843844818-1.42200306317784i</v>
      </c>
      <c r="AT340" s="50">
        <f t="shared" ref="AT340:AT403" si="354">20*LOG(IMABS(AS340))</f>
        <v>3.1656514412011449</v>
      </c>
      <c r="AU340" s="61">
        <f t="shared" ref="AU340:AU403" si="355">(180/PI())*IMARGUMENT(AS340)</f>
        <v>-99.001638456963533</v>
      </c>
      <c r="AV340" s="32" t="str">
        <f t="shared" si="330"/>
        <v>-0.0000333333333333333</v>
      </c>
      <c r="AW340" s="32" t="str">
        <f t="shared" si="331"/>
        <v>0.00500519619494366i</v>
      </c>
      <c r="AX340" s="32">
        <f t="shared" ref="AX340:AX403" si="356">IMABS(AW340)</f>
        <v>5.0051961949436601E-3</v>
      </c>
      <c r="AY340" s="32">
        <f t="shared" ref="AY340:AY403" si="357">IMARGUMENT(AW340)</f>
        <v>1.5707963267948966</v>
      </c>
      <c r="AZ340" s="32" t="str">
        <f t="shared" si="332"/>
        <v>1+2.0420505309232i</v>
      </c>
      <c r="BA340" s="32">
        <f t="shared" ref="BA340:BA403" si="358">IMABS(AZ340)</f>
        <v>2.2737568847270642</v>
      </c>
      <c r="BB340" s="32">
        <f t="shared" ref="BB340:BB403" si="359">IMARGUMENT(AZ340)</f>
        <v>1.1154195156342088</v>
      </c>
      <c r="BC340" s="32" t="str">
        <f t="shared" si="333"/>
        <v>1+98.0184254843137i</v>
      </c>
      <c r="BD340" s="32">
        <f t="shared" ref="BD340:BD403" si="360">IMABS(BC340)</f>
        <v>98.023526433320868</v>
      </c>
      <c r="BE340" s="32">
        <f t="shared" ref="BE340:BE403" si="361">IMARGUMENT(BC340)</f>
        <v>1.5605945172625306</v>
      </c>
      <c r="BF340" s="59" t="str">
        <f t="shared" ref="BF340:BF403" si="362">IMPRODUCT(AV340,IMDIV(BC340,IMPRODUCT(AW340,AZ340)))</f>
        <v>-0.123632863419376+0.259124299984476i</v>
      </c>
      <c r="BG340" s="50">
        <f t="shared" ref="BG340:BG403" si="363">20*LOG(IMABS(BF340))</f>
        <v>-10.839121303306559</v>
      </c>
      <c r="BH340" s="61">
        <f t="shared" ref="BH340:BH403" si="364">(180/PI())*IMARGUMENT(BF340)</f>
        <v>115.50664873803247</v>
      </c>
      <c r="BI340" s="59" t="str">
        <f t="shared" ref="BI340:BI403" si="365">IMPRODUCT(AF340,BF340)</f>
        <v>0.0879360748696214-0.0127250377365097i</v>
      </c>
      <c r="BJ340" s="64">
        <f t="shared" ref="BJ340:BJ403" si="366">20*LOG(IMABS(BI340))</f>
        <v>-21.026654771424219</v>
      </c>
      <c r="BK340" s="61">
        <f t="shared" ref="BK340:BK403" si="367">(180/PI())*IMARGUMENT(BI340)</f>
        <v>-8.2339906204061606</v>
      </c>
      <c r="BL340" s="59" t="str">
        <f t="shared" si="318"/>
        <v>0.396325685993992+0.117434715519399i</v>
      </c>
      <c r="BM340" s="64">
        <f t="shared" ref="BM340:BM403" si="368">20*LOG(IMABS(BL340))</f>
        <v>-7.6734698621054109</v>
      </c>
      <c r="BN340" s="61">
        <f t="shared" si="319"/>
        <v>16.505010281068877</v>
      </c>
      <c r="BO340" s="50">
        <f t="shared" ref="BO340:BO403" si="369">IF($B$31=0,BM340,BJ340)</f>
        <v>-21.026654771424219</v>
      </c>
      <c r="BP340" s="61">
        <f t="shared" ref="BP340:BP403" si="370">IF($B$31=0,BN340,BK340)</f>
        <v>-8.2339906204061606</v>
      </c>
    </row>
    <row r="341" spans="14:68" x14ac:dyDescent="0.25">
      <c r="N341" s="11">
        <v>23</v>
      </c>
      <c r="O341" s="51">
        <f t="shared" si="320"/>
        <v>16982.436524617482</v>
      </c>
      <c r="P341" s="49" t="str">
        <f t="shared" si="321"/>
        <v>37.1583961085025</v>
      </c>
      <c r="Q341" s="18" t="str">
        <f t="shared" si="322"/>
        <v>1+83.6354933107532i</v>
      </c>
      <c r="R341" s="18">
        <f t="shared" si="334"/>
        <v>83.641471420181546</v>
      </c>
      <c r="S341" s="18">
        <f t="shared" si="335"/>
        <v>1.55884025036481</v>
      </c>
      <c r="T341" s="18" t="str">
        <f t="shared" si="323"/>
        <v>1+0.0960334160864284i</v>
      </c>
      <c r="U341" s="18">
        <f t="shared" si="336"/>
        <v>1.0046006256245459</v>
      </c>
      <c r="V341" s="18">
        <f t="shared" si="337"/>
        <v>9.573981891758572E-2</v>
      </c>
      <c r="W341" s="32" t="str">
        <f t="shared" si="324"/>
        <v>1-0.840570265224088i</v>
      </c>
      <c r="X341" s="18">
        <f t="shared" si="338"/>
        <v>1.3063530804414607</v>
      </c>
      <c r="Y341" s="18">
        <f t="shared" si="339"/>
        <v>-0.69899407958025517</v>
      </c>
      <c r="Z341" s="32" t="str">
        <f t="shared" si="325"/>
        <v>0.992789921242183+0.202381532419176i</v>
      </c>
      <c r="AA341" s="18">
        <f t="shared" si="340"/>
        <v>1.0132078327689704</v>
      </c>
      <c r="AB341" s="18">
        <f t="shared" si="341"/>
        <v>0.20109599117719232</v>
      </c>
      <c r="AC341" s="32" t="str">
        <f>IMDIV(IMSUM(COMPLEX(0,2*PI()*O341*Constants!$B$61*Constants!$B$62),COMPLEX(1,0)),IMSUM(COMPLEX(0,2*PI()*O341*Constants!$B$61*Constants!$B$62),COMPLEX(2,0)))</f>
        <v>0.521779500573624+0.102055884894383i</v>
      </c>
      <c r="AD341" s="18">
        <f t="shared" si="342"/>
        <v>0.53166648461270904</v>
      </c>
      <c r="AE341" s="18">
        <f t="shared" si="343"/>
        <v>0.19315350715646074</v>
      </c>
      <c r="AF341" s="66" t="str">
        <f t="shared" si="344"/>
        <v>-0.172552470176578-0.25263066880846i</v>
      </c>
      <c r="AG341" s="64">
        <f t="shared" si="345"/>
        <v>-10.287398817919808</v>
      </c>
      <c r="AH341" s="61">
        <f t="shared" si="346"/>
        <v>-124.33396120351389</v>
      </c>
      <c r="AI341" s="50" t="str">
        <f t="shared" si="326"/>
        <v>107.538871525172</v>
      </c>
      <c r="AJ341" s="50" t="str">
        <f t="shared" si="327"/>
        <v>1+79.5081853962315i</v>
      </c>
      <c r="AK341" s="50">
        <f t="shared" si="347"/>
        <v>79.514473808241462</v>
      </c>
      <c r="AL341" s="50">
        <f t="shared" si="348"/>
        <v>1.5582196685508443</v>
      </c>
      <c r="AM341" s="50" t="str">
        <f t="shared" si="328"/>
        <v>1+0.0960334160864284i</v>
      </c>
      <c r="AN341" s="50">
        <f t="shared" si="349"/>
        <v>1.0046006256245459</v>
      </c>
      <c r="AO341" s="50">
        <f t="shared" si="350"/>
        <v>9.573981891758572E-2</v>
      </c>
      <c r="AP341" s="50" t="str">
        <f t="shared" si="329"/>
        <v>1-0.276112716367031i</v>
      </c>
      <c r="AQ341" s="50">
        <f t="shared" si="351"/>
        <v>1.0374190243771224</v>
      </c>
      <c r="AR341" s="50">
        <f t="shared" si="352"/>
        <v>-0.26940039987660463</v>
      </c>
      <c r="AS341" s="59" t="str">
        <f t="shared" si="353"/>
        <v>-0.226068121958549-1.39125858436044i</v>
      </c>
      <c r="AT341" s="50">
        <f t="shared" si="354"/>
        <v>2.9813387539240619</v>
      </c>
      <c r="AU341" s="61">
        <f t="shared" si="355"/>
        <v>-99.229428918979153</v>
      </c>
      <c r="AV341" s="32" t="str">
        <f t="shared" si="330"/>
        <v>-0.0000333333333333333</v>
      </c>
      <c r="AW341" s="32" t="str">
        <f t="shared" si="331"/>
        <v>0.00512178219127615i</v>
      </c>
      <c r="AX341" s="32">
        <f t="shared" si="356"/>
        <v>5.1217821912761504E-3</v>
      </c>
      <c r="AY341" s="32">
        <f t="shared" si="357"/>
        <v>1.5707963267948966</v>
      </c>
      <c r="AZ341" s="32" t="str">
        <f t="shared" si="332"/>
        <v>1+2.08961599817691i</v>
      </c>
      <c r="BA341" s="32">
        <f t="shared" si="358"/>
        <v>2.3165696665192015</v>
      </c>
      <c r="BB341" s="32">
        <f t="shared" si="359"/>
        <v>1.1244499424553984</v>
      </c>
      <c r="BC341" s="32" t="str">
        <f t="shared" si="333"/>
        <v>1+100.301567912492i</v>
      </c>
      <c r="BD341" s="32">
        <f t="shared" si="360"/>
        <v>100.30655275556151</v>
      </c>
      <c r="BE341" s="32">
        <f t="shared" si="361"/>
        <v>1.5608267232324231</v>
      </c>
      <c r="BF341" s="59" t="str">
        <f t="shared" si="362"/>
        <v>-0.119105344992974+0.255392585647513i</v>
      </c>
      <c r="BG341" s="50">
        <f t="shared" si="363"/>
        <v>-11.001168411135374</v>
      </c>
      <c r="BH341" s="61">
        <f t="shared" si="364"/>
        <v>115.00254781602915</v>
      </c>
      <c r="BI341" s="59" t="str">
        <f t="shared" si="365"/>
        <v>0.0850719212106243-0.0139789585540242i</v>
      </c>
      <c r="BJ341" s="64">
        <f t="shared" si="366"/>
        <v>-21.288567229055182</v>
      </c>
      <c r="BK341" s="61">
        <f t="shared" si="367"/>
        <v>-9.3314133874847265</v>
      </c>
      <c r="BL341" s="59" t="str">
        <f t="shared" si="318"/>
        <v>0.382243048821898+0.107970211465216i</v>
      </c>
      <c r="BM341" s="64">
        <f t="shared" si="368"/>
        <v>-8.0198296572113108</v>
      </c>
      <c r="BN341" s="61">
        <f t="shared" si="319"/>
        <v>15.773118897050034</v>
      </c>
      <c r="BO341" s="50">
        <f t="shared" si="369"/>
        <v>-21.288567229055182</v>
      </c>
      <c r="BP341" s="61">
        <f t="shared" si="370"/>
        <v>-9.3314133874847265</v>
      </c>
    </row>
    <row r="342" spans="14:68" x14ac:dyDescent="0.25">
      <c r="N342" s="11">
        <v>24</v>
      </c>
      <c r="O342" s="51">
        <f t="shared" si="320"/>
        <v>17378.008287493791</v>
      </c>
      <c r="P342" s="49" t="str">
        <f t="shared" si="321"/>
        <v>37.1583961085025</v>
      </c>
      <c r="Q342" s="18" t="str">
        <f t="shared" si="322"/>
        <v>1+85.5836142108372i</v>
      </c>
      <c r="R342" s="18">
        <f t="shared" si="334"/>
        <v>85.589456251277923</v>
      </c>
      <c r="S342" s="18">
        <f t="shared" si="335"/>
        <v>1.5591123788344556</v>
      </c>
      <c r="T342" s="18" t="str">
        <f t="shared" si="323"/>
        <v>1+0.0982703217060235i</v>
      </c>
      <c r="U342" s="18">
        <f t="shared" si="336"/>
        <v>1.0048169266728171</v>
      </c>
      <c r="V342" s="18">
        <f t="shared" si="337"/>
        <v>9.7955808065986125E-2</v>
      </c>
      <c r="W342" s="32" t="str">
        <f t="shared" si="324"/>
        <v>1-0.860149661923379i</v>
      </c>
      <c r="X342" s="18">
        <f t="shared" si="338"/>
        <v>1.3190365578356436</v>
      </c>
      <c r="Y342" s="18">
        <f t="shared" si="339"/>
        <v>-0.71035703349879586</v>
      </c>
      <c r="Z342" s="32" t="str">
        <f t="shared" si="325"/>
        <v>0.992450120698995+0.207095603891582i</v>
      </c>
      <c r="AA342" s="18">
        <f t="shared" si="340"/>
        <v>1.0138273182483635</v>
      </c>
      <c r="AB342" s="18">
        <f t="shared" si="341"/>
        <v>0.20571903120738411</v>
      </c>
      <c r="AC342" s="32" t="str">
        <f>IMDIV(IMSUM(COMPLEX(0,2*PI()*O342*Constants!$B$61*Constants!$B$62),COMPLEX(1,0)),IMSUM(COMPLEX(0,2*PI()*O342*Constants!$B$61*Constants!$B$62),COMPLEX(2,0)))</f>
        <v>0.522759215046729+0.10421912326354i</v>
      </c>
      <c r="AD342" s="18">
        <f t="shared" si="342"/>
        <v>0.53304673582162865</v>
      </c>
      <c r="AE342" s="18">
        <f t="shared" si="343"/>
        <v>0.19678349611962329</v>
      </c>
      <c r="AF342" s="66" t="str">
        <f t="shared" si="344"/>
        <v>-0.173228803344652-0.248035877453381i</v>
      </c>
      <c r="AG342" s="64">
        <f t="shared" si="345"/>
        <v>-10.38436467356113</v>
      </c>
      <c r="AH342" s="61">
        <f t="shared" si="346"/>
        <v>-124.93053312797574</v>
      </c>
      <c r="AI342" s="50" t="str">
        <f t="shared" si="326"/>
        <v>107.538871525172</v>
      </c>
      <c r="AJ342" s="50" t="str">
        <f t="shared" si="327"/>
        <v>1+81.3601689449222i</v>
      </c>
      <c r="AK342" s="50">
        <f t="shared" si="347"/>
        <v>81.366314226135884</v>
      </c>
      <c r="AL342" s="50">
        <f t="shared" si="348"/>
        <v>1.5585059190795938</v>
      </c>
      <c r="AM342" s="50" t="str">
        <f t="shared" si="328"/>
        <v>1+0.0982703217060235i</v>
      </c>
      <c r="AN342" s="50">
        <f t="shared" si="349"/>
        <v>1.0048169266728171</v>
      </c>
      <c r="AO342" s="50">
        <f t="shared" si="350"/>
        <v>9.7955808065986125E-2</v>
      </c>
      <c r="AP342" s="50" t="str">
        <f t="shared" si="329"/>
        <v>1-0.282544207737985i</v>
      </c>
      <c r="AQ342" s="50">
        <f t="shared" si="351"/>
        <v>1.0391492815405714</v>
      </c>
      <c r="AR342" s="50">
        <f t="shared" si="352"/>
        <v>-0.27536638433968297</v>
      </c>
      <c r="AS342" s="59" t="str">
        <f t="shared" si="353"/>
        <v>-0.226835257780748-1.36125085972865i</v>
      </c>
      <c r="AT342" s="50">
        <f t="shared" si="354"/>
        <v>2.7977143068760295</v>
      </c>
      <c r="AU342" s="61">
        <f t="shared" si="355"/>
        <v>-99.460688770884715</v>
      </c>
      <c r="AV342" s="32" t="str">
        <f t="shared" si="330"/>
        <v>-0.0000333333333333333</v>
      </c>
      <c r="AW342" s="32" t="str">
        <f t="shared" si="331"/>
        <v>0.00524108382432125i</v>
      </c>
      <c r="AX342" s="32">
        <f t="shared" si="356"/>
        <v>5.2410838243212498E-3</v>
      </c>
      <c r="AY342" s="32">
        <f t="shared" si="357"/>
        <v>1.5707963267948966</v>
      </c>
      <c r="AZ342" s="32" t="str">
        <f t="shared" si="332"/>
        <v>1+2.13828940749218i</v>
      </c>
      <c r="BA342" s="32">
        <f t="shared" si="358"/>
        <v>2.360568065147298</v>
      </c>
      <c r="BB342" s="32">
        <f t="shared" si="359"/>
        <v>1.133350877036909</v>
      </c>
      <c r="BC342" s="32" t="str">
        <f t="shared" si="333"/>
        <v>1+102.637891559625i</v>
      </c>
      <c r="BD342" s="32">
        <f t="shared" si="360"/>
        <v>102.64276293926106</v>
      </c>
      <c r="BE342" s="32">
        <f t="shared" si="361"/>
        <v>1.5610536445880365</v>
      </c>
      <c r="BF342" s="59" t="str">
        <f t="shared" si="362"/>
        <v>-0.114706737338193+0.251636209090446i</v>
      </c>
      <c r="BG342" s="50">
        <f t="shared" si="363"/>
        <v>-11.164611081529827</v>
      </c>
      <c r="BH342" s="61">
        <f t="shared" si="364"/>
        <v>114.5055634667446</v>
      </c>
      <c r="BI342" s="59" t="str">
        <f t="shared" si="365"/>
        <v>0.0822853187654557-0.0151392531334294i</v>
      </c>
      <c r="BJ342" s="64">
        <f t="shared" si="366"/>
        <v>-21.548975755090961</v>
      </c>
      <c r="BK342" s="61">
        <f t="shared" si="367"/>
        <v>-10.424969661231136</v>
      </c>
      <c r="BL342" s="59" t="str">
        <f t="shared" si="318"/>
        <v>0.368559538296525+0.0990646804622821i</v>
      </c>
      <c r="BM342" s="64">
        <f t="shared" si="368"/>
        <v>-8.3668967746538101</v>
      </c>
      <c r="BN342" s="61">
        <f t="shared" si="319"/>
        <v>15.044874695859917</v>
      </c>
      <c r="BO342" s="50">
        <f t="shared" si="369"/>
        <v>-21.548975755090961</v>
      </c>
      <c r="BP342" s="61">
        <f t="shared" si="370"/>
        <v>-10.424969661231136</v>
      </c>
    </row>
    <row r="343" spans="14:68" x14ac:dyDescent="0.25">
      <c r="N343" s="11">
        <v>25</v>
      </c>
      <c r="O343" s="51">
        <f t="shared" si="320"/>
        <v>17782.794100389234</v>
      </c>
      <c r="P343" s="49" t="str">
        <f t="shared" si="321"/>
        <v>37.1583961085025</v>
      </c>
      <c r="Q343" s="18" t="str">
        <f t="shared" si="322"/>
        <v>1+87.5771126760088i</v>
      </c>
      <c r="R343" s="18">
        <f t="shared" si="334"/>
        <v>87.582821744143061</v>
      </c>
      <c r="S343" s="18">
        <f t="shared" si="335"/>
        <v>1.5593783145761035</v>
      </c>
      <c r="T343" s="18" t="str">
        <f t="shared" si="323"/>
        <v>1+0.100559331550949i</v>
      </c>
      <c r="U343" s="18">
        <f t="shared" si="336"/>
        <v>1.0050433717815235</v>
      </c>
      <c r="V343" s="18">
        <f t="shared" si="337"/>
        <v>0.10022241538232013</v>
      </c>
      <c r="W343" s="32" t="str">
        <f t="shared" si="324"/>
        <v>1-0.880185121358849i</v>
      </c>
      <c r="X343" s="18">
        <f t="shared" si="338"/>
        <v>1.3321883680101294</v>
      </c>
      <c r="Y343" s="18">
        <f t="shared" si="339"/>
        <v>-0.7217591702763011</v>
      </c>
      <c r="Z343" s="32" t="str">
        <f t="shared" si="325"/>
        <v>0.992094305849579+0.211919480194406i</v>
      </c>
      <c r="AA343" s="18">
        <f t="shared" si="340"/>
        <v>1.0144757157197137</v>
      </c>
      <c r="AB343" s="18">
        <f t="shared" si="341"/>
        <v>0.21044547487441687</v>
      </c>
      <c r="AC343" s="32" t="str">
        <f>IMDIV(IMSUM(COMPLEX(0,2*PI()*O343*Constants!$B$61*Constants!$B$62),COMPLEX(1,0)),IMSUM(COMPLEX(0,2*PI()*O343*Constants!$B$61*Constants!$B$62),COMPLEX(2,0)))</f>
        <v>0.523780808798987+0.106418407864239i</v>
      </c>
      <c r="AD343" s="18">
        <f t="shared" si="342"/>
        <v>0.53448219165700983</v>
      </c>
      <c r="AE343" s="18">
        <f t="shared" si="343"/>
        <v>0.20044518238212836</v>
      </c>
      <c r="AF343" s="66" t="str">
        <f t="shared" si="344"/>
        <v>-0.173922139740085-0.243558165227169i</v>
      </c>
      <c r="AG343" s="64">
        <f t="shared" si="345"/>
        <v>-10.478398959880355</v>
      </c>
      <c r="AH343" s="61">
        <f t="shared" si="346"/>
        <v>-125.53020351082104</v>
      </c>
      <c r="AI343" s="50" t="str">
        <f t="shared" si="326"/>
        <v>107.538871525172</v>
      </c>
      <c r="AJ343" s="50" t="str">
        <f t="shared" si="327"/>
        <v>1+83.2552907321167i</v>
      </c>
      <c r="AK343" s="50">
        <f t="shared" si="347"/>
        <v>83.261296139858871</v>
      </c>
      <c r="AL343" s="50">
        <f t="shared" si="348"/>
        <v>1.5587856556971489</v>
      </c>
      <c r="AM343" s="50" t="str">
        <f t="shared" si="328"/>
        <v>1+0.100559331550949i</v>
      </c>
      <c r="AN343" s="50">
        <f t="shared" si="349"/>
        <v>1.0050433717815235</v>
      </c>
      <c r="AO343" s="50">
        <f t="shared" si="350"/>
        <v>0.10022241538232013</v>
      </c>
      <c r="AP343" s="50" t="str">
        <f t="shared" si="329"/>
        <v>1-0.289125507787796i</v>
      </c>
      <c r="AQ343" s="50">
        <f t="shared" si="351"/>
        <v>1.0409580007154711</v>
      </c>
      <c r="AR343" s="50">
        <f t="shared" si="352"/>
        <v>-0.28145058069415257</v>
      </c>
      <c r="AS343" s="59" t="str">
        <f t="shared" si="353"/>
        <v>-0.227567876999073-1.3319640394788i</v>
      </c>
      <c r="AT343" s="50">
        <f t="shared" si="354"/>
        <v>2.6148063752324764</v>
      </c>
      <c r="AU343" s="61">
        <f t="shared" si="355"/>
        <v>-99.695448238246414</v>
      </c>
      <c r="AV343" s="32" t="str">
        <f t="shared" si="330"/>
        <v>-0.0000333333333333333</v>
      </c>
      <c r="AW343" s="32" t="str">
        <f t="shared" si="331"/>
        <v>0.00536316434938394i</v>
      </c>
      <c r="AX343" s="32">
        <f t="shared" si="356"/>
        <v>5.3631643493839403E-3</v>
      </c>
      <c r="AY343" s="32">
        <f t="shared" si="357"/>
        <v>1.5707963267948966</v>
      </c>
      <c r="AZ343" s="32" t="str">
        <f t="shared" si="332"/>
        <v>1+2.1880965661549i</v>
      </c>
      <c r="BA343" s="32">
        <f t="shared" si="358"/>
        <v>2.4057777500880801</v>
      </c>
      <c r="BB343" s="32">
        <f t="shared" si="359"/>
        <v>1.1421213962380152</v>
      </c>
      <c r="BC343" s="32" t="str">
        <f t="shared" si="333"/>
        <v>1+105.028635175435i</v>
      </c>
      <c r="BD343" s="32">
        <f t="shared" si="360"/>
        <v>105.03339567401704</v>
      </c>
      <c r="BE343" s="32">
        <f t="shared" si="361"/>
        <v>1.5612754015525447</v>
      </c>
      <c r="BF343" s="59" t="str">
        <f t="shared" si="362"/>
        <v>-0.110436077819405+0.247860038879095i</v>
      </c>
      <c r="BG343" s="50">
        <f t="shared" si="363"/>
        <v>-11.329409164247696</v>
      </c>
      <c r="BH343" s="61">
        <f t="shared" si="364"/>
        <v>114.0157554705266</v>
      </c>
      <c r="BI343" s="59" t="str">
        <f t="shared" si="365"/>
        <v>0.0795756152613806-0.0162107398293337i</v>
      </c>
      <c r="BJ343" s="64">
        <f t="shared" si="366"/>
        <v>-21.807808124128055</v>
      </c>
      <c r="BK343" s="61">
        <f t="shared" si="367"/>
        <v>-11.514448040294402</v>
      </c>
      <c r="BL343" s="59" t="str">
        <f t="shared" si="318"/>
        <v>0.355272362384238+0.0906919014759064i</v>
      </c>
      <c r="BM343" s="64">
        <f t="shared" si="368"/>
        <v>-8.714602789015224</v>
      </c>
      <c r="BN343" s="61">
        <f t="shared" si="319"/>
        <v>14.320307232280193</v>
      </c>
      <c r="BO343" s="50">
        <f t="shared" si="369"/>
        <v>-21.807808124128055</v>
      </c>
      <c r="BP343" s="61">
        <f t="shared" si="370"/>
        <v>-11.514448040294402</v>
      </c>
    </row>
    <row r="344" spans="14:68" x14ac:dyDescent="0.25">
      <c r="N344" s="11">
        <v>26</v>
      </c>
      <c r="O344" s="51">
        <f t="shared" si="320"/>
        <v>18197.008586099837</v>
      </c>
      <c r="P344" s="49" t="str">
        <f t="shared" si="321"/>
        <v>37.1583961085025</v>
      </c>
      <c r="Q344" s="18" t="str">
        <f t="shared" si="322"/>
        <v>1+89.6170456855419i</v>
      </c>
      <c r="R344" s="18">
        <f t="shared" si="334"/>
        <v>89.622624807603714</v>
      </c>
      <c r="S344" s="18">
        <f t="shared" si="335"/>
        <v>1.5596381984418579</v>
      </c>
      <c r="T344" s="18" t="str">
        <f t="shared" si="323"/>
        <v>1+0.102901659284523i</v>
      </c>
      <c r="U344" s="18">
        <f t="shared" si="336"/>
        <v>1.005280434248826</v>
      </c>
      <c r="V344" s="18">
        <f t="shared" si="337"/>
        <v>0.10254074944294553</v>
      </c>
      <c r="W344" s="32" t="str">
        <f t="shared" si="324"/>
        <v>1-0.900687266596297i</v>
      </c>
      <c r="X344" s="18">
        <f t="shared" si="338"/>
        <v>1.345822258772944</v>
      </c>
      <c r="Y344" s="18">
        <f t="shared" si="339"/>
        <v>-0.73319467735592192</v>
      </c>
      <c r="Z344" s="32" t="str">
        <f t="shared" si="325"/>
        <v>0.991721721962935+0.216855719010716i</v>
      </c>
      <c r="AA344" s="18">
        <f t="shared" si="340"/>
        <v>1.0151543610115574</v>
      </c>
      <c r="AB344" s="18">
        <f t="shared" si="341"/>
        <v>0.2152774351033104</v>
      </c>
      <c r="AC344" s="32" t="str">
        <f>IMDIV(IMSUM(COMPLEX(0,2*PI()*O344*Constants!$B$61*Constants!$B$62),COMPLEX(1,0)),IMSUM(COMPLEX(0,2*PI()*O344*Constants!$B$61*Constants!$B$62),COMPLEX(2,0)))</f>
        <v>0.524845871520176+0.108653662747701i</v>
      </c>
      <c r="AD344" s="18">
        <f t="shared" si="342"/>
        <v>0.53597463305670012</v>
      </c>
      <c r="AE344" s="18">
        <f t="shared" si="343"/>
        <v>0.20413648620537519</v>
      </c>
      <c r="AF344" s="66" t="str">
        <f t="shared" si="344"/>
        <v>-0.174633448397266-0.239194270799523i</v>
      </c>
      <c r="AG344" s="64">
        <f t="shared" si="345"/>
        <v>-10.569472225216527</v>
      </c>
      <c r="AH344" s="61">
        <f t="shared" si="346"/>
        <v>-126.13282409248943</v>
      </c>
      <c r="AI344" s="50" t="str">
        <f t="shared" si="326"/>
        <v>107.538871525172</v>
      </c>
      <c r="AJ344" s="50" t="str">
        <f t="shared" si="327"/>
        <v>1+85.194555576472i</v>
      </c>
      <c r="AK344" s="50">
        <f t="shared" si="347"/>
        <v>85.200424293970372</v>
      </c>
      <c r="AL344" s="50">
        <f t="shared" si="348"/>
        <v>1.5590590265483455</v>
      </c>
      <c r="AM344" s="50" t="str">
        <f t="shared" si="328"/>
        <v>1+0.102901659284523i</v>
      </c>
      <c r="AN344" s="50">
        <f t="shared" si="349"/>
        <v>1.005280434248826</v>
      </c>
      <c r="AO344" s="50">
        <f t="shared" si="350"/>
        <v>0.10254074944294553</v>
      </c>
      <c r="AP344" s="50" t="str">
        <f t="shared" si="329"/>
        <v>1-0.295860106008867i</v>
      </c>
      <c r="AQ344" s="50">
        <f t="shared" si="351"/>
        <v>1.0428485999068025</v>
      </c>
      <c r="AR344" s="50">
        <f t="shared" si="352"/>
        <v>-0.28765441238881917</v>
      </c>
      <c r="AS344" s="59" t="str">
        <f t="shared" si="353"/>
        <v>-0.22826753221969-1.30338265199153i</v>
      </c>
      <c r="AT344" s="50">
        <f t="shared" si="354"/>
        <v>2.4326441935164347</v>
      </c>
      <c r="AU344" s="61">
        <f t="shared" si="355"/>
        <v>-99.933733850000536</v>
      </c>
      <c r="AV344" s="32" t="str">
        <f t="shared" si="330"/>
        <v>-0.0000333333333333333</v>
      </c>
      <c r="AW344" s="32" t="str">
        <f t="shared" si="331"/>
        <v>0.00548808849517456i</v>
      </c>
      <c r="AX344" s="32">
        <f t="shared" si="356"/>
        <v>5.4880884951745597E-3</v>
      </c>
      <c r="AY344" s="32">
        <f t="shared" si="357"/>
        <v>1.5707963267948966</v>
      </c>
      <c r="AZ344" s="32" t="str">
        <f t="shared" si="332"/>
        <v>1+2.23906388257989i</v>
      </c>
      <c r="BA344" s="32">
        <f t="shared" si="358"/>
        <v>2.4522249224477211</v>
      </c>
      <c r="BB344" s="32">
        <f t="shared" si="359"/>
        <v>1.1507607521127245</v>
      </c>
      <c r="BC344" s="32" t="str">
        <f t="shared" si="333"/>
        <v>1+107.475066363835i</v>
      </c>
      <c r="BD344" s="32">
        <f t="shared" si="360"/>
        <v>107.47971850498463</v>
      </c>
      <c r="BE344" s="32">
        <f t="shared" si="361"/>
        <v>1.5614921116171341</v>
      </c>
      <c r="BF344" s="59" t="str">
        <f t="shared" si="362"/>
        <v>-0.106292195634054+0.244068776418318i</v>
      </c>
      <c r="BG344" s="50">
        <f t="shared" si="363"/>
        <v>-11.495522841385625</v>
      </c>
      <c r="BH344" s="61">
        <f t="shared" si="364"/>
        <v>113.53317341327318</v>
      </c>
      <c r="BI344" s="59" t="str">
        <f t="shared" si="365"/>
        <v>0.076942025661603-0.0171980878456644i</v>
      </c>
      <c r="BJ344" s="64">
        <f t="shared" si="366"/>
        <v>-22.064995066602158</v>
      </c>
      <c r="BK344" s="61">
        <f t="shared" si="367"/>
        <v>-12.599650679216261</v>
      </c>
      <c r="BL344" s="59" t="str">
        <f t="shared" si="318"/>
        <v>0.342378066268033+0.0828264265466271i</v>
      </c>
      <c r="BM344" s="64">
        <f t="shared" si="368"/>
        <v>-9.0628786478691978</v>
      </c>
      <c r="BN344" s="61">
        <f t="shared" si="319"/>
        <v>13.59943956327265</v>
      </c>
      <c r="BO344" s="50">
        <f t="shared" si="369"/>
        <v>-22.064995066602158</v>
      </c>
      <c r="BP344" s="61">
        <f t="shared" si="370"/>
        <v>-12.599650679216261</v>
      </c>
    </row>
    <row r="345" spans="14:68" x14ac:dyDescent="0.25">
      <c r="N345" s="11">
        <v>27</v>
      </c>
      <c r="O345" s="51">
        <f t="shared" si="320"/>
        <v>18620.871366628675</v>
      </c>
      <c r="P345" s="49" t="str">
        <f t="shared" si="321"/>
        <v>37.1583961085025</v>
      </c>
      <c r="Q345" s="18" t="str">
        <f t="shared" si="322"/>
        <v>1+91.7044948389192i</v>
      </c>
      <c r="R345" s="18">
        <f t="shared" si="334"/>
        <v>91.709946972296095</v>
      </c>
      <c r="S345" s="18">
        <f t="shared" si="335"/>
        <v>1.5598921680850839</v>
      </c>
      <c r="T345" s="18" t="str">
        <f t="shared" si="323"/>
        <v>1+0.105298546839914i</v>
      </c>
      <c r="U345" s="18">
        <f t="shared" si="336"/>
        <v>1.0055286092233267</v>
      </c>
      <c r="V345" s="18">
        <f t="shared" si="337"/>
        <v>0.10491193972238487</v>
      </c>
      <c r="W345" s="32" t="str">
        <f t="shared" si="324"/>
        <v>1-0.921666968144497i</v>
      </c>
      <c r="X345" s="18">
        <f t="shared" si="338"/>
        <v>1.3599522051045283</v>
      </c>
      <c r="Y345" s="18">
        <f t="shared" si="339"/>
        <v>-0.74465765550027962</v>
      </c>
      <c r="Z345" s="32" t="str">
        <f t="shared" si="325"/>
        <v>0.991331578738687+0.22190693759967i</v>
      </c>
      <c r="AA345" s="18">
        <f t="shared" si="340"/>
        <v>1.0158646504133322</v>
      </c>
      <c r="AB345" s="18">
        <f t="shared" si="341"/>
        <v>0.22021705412981801</v>
      </c>
      <c r="AC345" s="32" t="str">
        <f>IMDIV(IMSUM(COMPLEX(0,2*PI()*O345*Constants!$B$61*Constants!$B$62),COMPLEX(1,0)),IMSUM(COMPLEX(0,2*PI()*O345*Constants!$B$61*Constants!$B$62),COMPLEX(2,0)))</f>
        <v>0.525956034939553+0.110924757020213i</v>
      </c>
      <c r="AD345" s="18">
        <f t="shared" si="342"/>
        <v>0.53752586208416941</v>
      </c>
      <c r="AE345" s="18">
        <f t="shared" si="343"/>
        <v>0.20785516984727787</v>
      </c>
      <c r="AF345" s="66" t="str">
        <f t="shared" si="344"/>
        <v>-0.175363693816721-0.234940942721241i</v>
      </c>
      <c r="AG345" s="64">
        <f t="shared" si="345"/>
        <v>-10.657557779608144</v>
      </c>
      <c r="AH345" s="61">
        <f t="shared" si="346"/>
        <v>-126.73825099865493</v>
      </c>
      <c r="AI345" s="50" t="str">
        <f t="shared" si="326"/>
        <v>107.538871525172</v>
      </c>
      <c r="AJ345" s="50" t="str">
        <f t="shared" si="327"/>
        <v>1+87.178991701877i</v>
      </c>
      <c r="AK345" s="50">
        <f t="shared" si="347"/>
        <v>87.184726839945654</v>
      </c>
      <c r="AL345" s="50">
        <f t="shared" si="348"/>
        <v>1.5593261764144974</v>
      </c>
      <c r="AM345" s="50" t="str">
        <f t="shared" si="328"/>
        <v>1+0.105298546839914i</v>
      </c>
      <c r="AN345" s="50">
        <f t="shared" si="349"/>
        <v>1.0055286092233267</v>
      </c>
      <c r="AO345" s="50">
        <f t="shared" si="350"/>
        <v>0.10491193972238487</v>
      </c>
      <c r="AP345" s="50" t="str">
        <f t="shared" si="329"/>
        <v>1-0.302751573174314i</v>
      </c>
      <c r="AQ345" s="50">
        <f t="shared" si="351"/>
        <v>1.0448246336393117</v>
      </c>
      <c r="AR345" s="50">
        <f t="shared" si="352"/>
        <v>-0.29397925788666868</v>
      </c>
      <c r="AS345" s="59" t="str">
        <f t="shared" si="353"/>
        <v>-0.228935706248862-1.27549159589853i</v>
      </c>
      <c r="AT345" s="50">
        <f t="shared" si="354"/>
        <v>2.2512579718978523</v>
      </c>
      <c r="AU345" s="61">
        <f t="shared" si="355"/>
        <v>-100.17556816749332</v>
      </c>
      <c r="AV345" s="32" t="str">
        <f t="shared" si="330"/>
        <v>-0.0000333333333333333</v>
      </c>
      <c r="AW345" s="32" t="str">
        <f t="shared" si="331"/>
        <v>0.00561592249812875i</v>
      </c>
      <c r="AX345" s="32">
        <f t="shared" si="356"/>
        <v>5.6159224981287498E-3</v>
      </c>
      <c r="AY345" s="32">
        <f t="shared" si="357"/>
        <v>1.5707963267948966</v>
      </c>
      <c r="AZ345" s="32" t="str">
        <f t="shared" si="332"/>
        <v>1+2.29121838031294i</v>
      </c>
      <c r="BA345" s="32">
        <f t="shared" si="358"/>
        <v>2.4999363324460591</v>
      </c>
      <c r="BB345" s="32">
        <f t="shared" si="359"/>
        <v>1.1592683656979448</v>
      </c>
      <c r="BC345" s="32" t="str">
        <f t="shared" si="333"/>
        <v>1+109.978482255021i</v>
      </c>
      <c r="BD345" s="32">
        <f t="shared" si="360"/>
        <v>109.98302850493785</v>
      </c>
      <c r="BE345" s="32">
        <f t="shared" si="361"/>
        <v>1.5617038896028832</v>
      </c>
      <c r="BF345" s="59" t="str">
        <f t="shared" si="362"/>
        <v>-0.102273727666644+0.24026694916612i</v>
      </c>
      <c r="BG345" s="50">
        <f t="shared" si="363"/>
        <v>-11.662912690116563</v>
      </c>
      <c r="BH345" s="61">
        <f t="shared" si="364"/>
        <v>113.05785704588898</v>
      </c>
      <c r="BI345" s="59" t="str">
        <f t="shared" si="365"/>
        <v>0.0743836422058728-0.0181058137142283i</v>
      </c>
      <c r="BJ345" s="64">
        <f t="shared" si="366"/>
        <v>-22.320470469724704</v>
      </c>
      <c r="BK345" s="61">
        <f t="shared" si="367"/>
        <v>-13.680393952765931</v>
      </c>
      <c r="BL345" s="59" t="str">
        <f t="shared" si="318"/>
        <v>0.329872582507632+0.0754435964244143i</v>
      </c>
      <c r="BM345" s="64">
        <f t="shared" si="368"/>
        <v>-9.4116547182187169</v>
      </c>
      <c r="BN345" s="61">
        <f t="shared" si="319"/>
        <v>12.882288878395661</v>
      </c>
      <c r="BO345" s="50">
        <f t="shared" si="369"/>
        <v>-22.320470469724704</v>
      </c>
      <c r="BP345" s="61">
        <f t="shared" si="370"/>
        <v>-13.680393952765931</v>
      </c>
    </row>
    <row r="346" spans="14:68" x14ac:dyDescent="0.25">
      <c r="N346" s="11">
        <v>28</v>
      </c>
      <c r="O346" s="51">
        <f t="shared" si="320"/>
        <v>19054.607179632505</v>
      </c>
      <c r="P346" s="49" t="str">
        <f t="shared" si="321"/>
        <v>37.1583961085025</v>
      </c>
      <c r="Q346" s="18" t="str">
        <f t="shared" si="322"/>
        <v>1+93.8405669293133i</v>
      </c>
      <c r="R346" s="18">
        <f t="shared" si="334"/>
        <v>93.845894964110855</v>
      </c>
      <c r="S346" s="18">
        <f t="shared" si="335"/>
        <v>1.5601403580327233</v>
      </c>
      <c r="T346" s="18" t="str">
        <f t="shared" si="323"/>
        <v>1+0.107751265078632i</v>
      </c>
      <c r="U346" s="18">
        <f t="shared" si="336"/>
        <v>1.005788414690707</v>
      </c>
      <c r="V346" s="18">
        <f t="shared" si="337"/>
        <v>0.10733713674187777</v>
      </c>
      <c r="W346" s="32" t="str">
        <f t="shared" si="324"/>
        <v>1-0.943135349718921i</v>
      </c>
      <c r="X346" s="18">
        <f t="shared" si="338"/>
        <v>1.3745924079120442</v>
      </c>
      <c r="Y346" s="18">
        <f t="shared" si="339"/>
        <v>-0.75614213365706073</v>
      </c>
      <c r="Z346" s="32" t="str">
        <f t="shared" si="325"/>
        <v>0.990923048630747+0.227075814184227i</v>
      </c>
      <c r="AA346" s="18">
        <f t="shared" si="340"/>
        <v>1.016608043296473</v>
      </c>
      <c r="AB346" s="18">
        <f t="shared" si="341"/>
        <v>0.22526650290360753</v>
      </c>
      <c r="AC346" s="32" t="str">
        <f>IMDIV(IMSUM(COMPLEX(0,2*PI()*O346*Constants!$B$61*Constants!$B$62),COMPLEX(1,0)),IMSUM(COMPLEX(0,2*PI()*O346*Constants!$B$61*Constants!$B$62),COMPLEX(2,0)))</f>
        <v>0.527112972195412+0.113231501078263i</v>
      </c>
      <c r="AD346" s="18">
        <f t="shared" si="342"/>
        <v>0.5391376988238884</v>
      </c>
      <c r="AE346" s="18">
        <f t="shared" si="343"/>
        <v>0.21159883375407426</v>
      </c>
      <c r="AF346" s="66" t="str">
        <f t="shared" si="344"/>
        <v>-0.17611383465823-0.230794935670075i</v>
      </c>
      <c r="AG346" s="64">
        <f t="shared" si="345"/>
        <v>-10.74263182884458</v>
      </c>
      <c r="AH346" s="61">
        <f t="shared" si="346"/>
        <v>-127.34634577159218</v>
      </c>
      <c r="AI346" s="50" t="str">
        <f t="shared" si="326"/>
        <v>107.538871525172</v>
      </c>
      <c r="AJ346" s="50" t="str">
        <f t="shared" si="327"/>
        <v>1+89.2096512826334i</v>
      </c>
      <c r="AK346" s="50">
        <f t="shared" si="347"/>
        <v>89.215255881318058</v>
      </c>
      <c r="AL346" s="50">
        <f t="shared" si="348"/>
        <v>1.5595872467893832</v>
      </c>
      <c r="AM346" s="50" t="str">
        <f t="shared" si="328"/>
        <v>1+0.107751265078632i</v>
      </c>
      <c r="AN346" s="50">
        <f t="shared" si="349"/>
        <v>1.005788414690707</v>
      </c>
      <c r="AO346" s="50">
        <f t="shared" si="350"/>
        <v>0.10733713674187777</v>
      </c>
      <c r="AP346" s="50" t="str">
        <f t="shared" si="329"/>
        <v>1-0.309803563231252i</v>
      </c>
      <c r="AQ346" s="50">
        <f t="shared" si="351"/>
        <v>1.0468897973477345</v>
      </c>
      <c r="AR346" s="50">
        <f t="shared" si="352"/>
        <v>-0.30042644581050443</v>
      </c>
      <c r="AS346" s="59" t="str">
        <f t="shared" si="353"/>
        <v>-0.229573815227543-1.24827613232761i</v>
      </c>
      <c r="AT346" s="50">
        <f t="shared" si="354"/>
        <v>2.0706789112225281</v>
      </c>
      <c r="AU346" s="61">
        <f t="shared" si="355"/>
        <v>-100.4209695021891</v>
      </c>
      <c r="AV346" s="32" t="str">
        <f t="shared" si="330"/>
        <v>-0.0000333333333333333</v>
      </c>
      <c r="AW346" s="32" t="str">
        <f t="shared" si="331"/>
        <v>0.00574673413752699i</v>
      </c>
      <c r="AX346" s="32">
        <f t="shared" si="356"/>
        <v>5.7467341375269897E-3</v>
      </c>
      <c r="AY346" s="32">
        <f t="shared" si="357"/>
        <v>1.5707963267948966</v>
      </c>
      <c r="AZ346" s="32" t="str">
        <f t="shared" si="332"/>
        <v>1+2.34458771235911i</v>
      </c>
      <c r="BA346" s="32">
        <f t="shared" si="358"/>
        <v>2.5489392972264615</v>
      </c>
      <c r="BB346" s="32">
        <f t="shared" si="359"/>
        <v>1.1676438205828239</v>
      </c>
      <c r="BC346" s="32" t="str">
        <f t="shared" si="333"/>
        <v>1+112.540210193238i</v>
      </c>
      <c r="BD346" s="32">
        <f t="shared" si="360"/>
        <v>112.54465296200522</v>
      </c>
      <c r="BE346" s="32">
        <f t="shared" si="361"/>
        <v>1.561910847721254</v>
      </c>
      <c r="BF346" s="59" t="str">
        <f t="shared" si="362"/>
        <v>-0.0983791342191472+0.236458905178175i</v>
      </c>
      <c r="BG346" s="50">
        <f t="shared" si="363"/>
        <v>-11.831539740478011</v>
      </c>
      <c r="BH346" s="61">
        <f t="shared" si="364"/>
        <v>112.58983665620188</v>
      </c>
      <c r="BI346" s="59" t="str">
        <f t="shared" si="365"/>
        <v>0.071899444386904-0.0189382785766294i</v>
      </c>
      <c r="BJ346" s="64">
        <f t="shared" si="366"/>
        <v>-22.574171569322587</v>
      </c>
      <c r="BK346" s="61">
        <f t="shared" si="367"/>
        <v>-14.756509115390239</v>
      </c>
      <c r="BL346" s="59" t="str">
        <f t="shared" si="318"/>
        <v>0.317751280791705+0.0685195521585344i</v>
      </c>
      <c r="BM346" s="64">
        <f t="shared" si="368"/>
        <v>-9.7608608292554937</v>
      </c>
      <c r="BN346" s="61">
        <f t="shared" si="319"/>
        <v>12.168867154012817</v>
      </c>
      <c r="BO346" s="50">
        <f t="shared" si="369"/>
        <v>-22.574171569322587</v>
      </c>
      <c r="BP346" s="61">
        <f t="shared" si="370"/>
        <v>-14.756509115390239</v>
      </c>
    </row>
    <row r="347" spans="14:68" x14ac:dyDescent="0.25">
      <c r="N347" s="11">
        <v>29</v>
      </c>
      <c r="O347" s="51">
        <f t="shared" si="320"/>
        <v>19498.445997580486</v>
      </c>
      <c r="P347" s="49" t="str">
        <f t="shared" si="321"/>
        <v>37.1583961085025</v>
      </c>
      <c r="Q347" s="18" t="str">
        <f t="shared" si="322"/>
        <v>1+96.0263945304189i</v>
      </c>
      <c r="R347" s="18">
        <f t="shared" si="334"/>
        <v>96.031601290989968</v>
      </c>
      <c r="S347" s="18">
        <f t="shared" si="335"/>
        <v>1.560382899755997</v>
      </c>
      <c r="T347" s="18" t="str">
        <f t="shared" si="323"/>
        <v>1+0.110261114464349i</v>
      </c>
      <c r="U347" s="18">
        <f t="shared" si="336"/>
        <v>1.006060392502816</v>
      </c>
      <c r="V347" s="18">
        <f t="shared" si="337"/>
        <v>0.10981751219884918</v>
      </c>
      <c r="W347" s="32" t="str">
        <f t="shared" si="324"/>
        <v>1-0.965103794139624i</v>
      </c>
      <c r="X347" s="18">
        <f t="shared" si="338"/>
        <v>1.38975729300576</v>
      </c>
      <c r="Y347" s="18">
        <f t="shared" si="339"/>
        <v>-0.76764208427938962</v>
      </c>
      <c r="Z347" s="32" t="str">
        <f t="shared" si="325"/>
        <v>0.990495265091986+0.232365089371164i</v>
      </c>
      <c r="AA347" s="18">
        <f t="shared" si="340"/>
        <v>1.0173860648387674</v>
      </c>
      <c r="AB347" s="18">
        <f t="shared" si="341"/>
        <v>0.2304279804023889</v>
      </c>
      <c r="AC347" s="32" t="str">
        <f>IMDIV(IMSUM(COMPLEX(0,2*PI()*O347*Constants!$B$61*Constants!$B$62),COMPLEX(1,0)),IMSUM(COMPLEX(0,2*PI()*O347*Constants!$B$61*Constants!$B$62),COMPLEX(2,0)))</f>
        <v>0.528318396995417+0.115573642710258i</v>
      </c>
      <c r="AD347" s="18">
        <f t="shared" si="342"/>
        <v>0.54081197794901459</v>
      </c>
      <c r="AE347" s="18">
        <f t="shared" si="343"/>
        <v>0.21536491314889961</v>
      </c>
      <c r="AF347" s="66" t="str">
        <f t="shared" si="344"/>
        <v>-0.176884822197131-0.226753006697255i</v>
      </c>
      <c r="AG347" s="64">
        <f t="shared" si="345"/>
        <v>-10.82467360388419</v>
      </c>
      <c r="AH347" s="61">
        <f t="shared" si="346"/>
        <v>-127.95697640076457</v>
      </c>
      <c r="AI347" s="50" t="str">
        <f t="shared" si="326"/>
        <v>107.538871525172</v>
      </c>
      <c r="AJ347" s="50" t="str">
        <f t="shared" si="327"/>
        <v>1+91.287611001328i</v>
      </c>
      <c r="AK347" s="50">
        <f t="shared" si="347"/>
        <v>91.293088031514088</v>
      </c>
      <c r="AL347" s="50">
        <f t="shared" si="348"/>
        <v>1.5598423759535369</v>
      </c>
      <c r="AM347" s="50" t="str">
        <f t="shared" si="328"/>
        <v>1+0.110261114464349i</v>
      </c>
      <c r="AN347" s="50">
        <f t="shared" si="349"/>
        <v>1.006060392502816</v>
      </c>
      <c r="AO347" s="50">
        <f t="shared" si="350"/>
        <v>0.10981751219884918</v>
      </c>
      <c r="AP347" s="50" t="str">
        <f t="shared" si="329"/>
        <v>1-0.317019815238146i</v>
      </c>
      <c r="AQ347" s="50">
        <f t="shared" si="351"/>
        <v>1.0490479318189556</v>
      </c>
      <c r="AR347" s="50">
        <f t="shared" si="352"/>
        <v>-0.30699724987643146</v>
      </c>
      <c r="AS347" s="59" t="str">
        <f t="shared" si="353"/>
        <v>-0.230183211625463-1.2217218773232i</v>
      </c>
      <c r="AT347" s="50">
        <f t="shared" si="354"/>
        <v>1.8909392166089276</v>
      </c>
      <c r="AU347" s="61">
        <f t="shared" si="355"/>
        <v>-100.66995162221846</v>
      </c>
      <c r="AV347" s="32" t="str">
        <f t="shared" si="330"/>
        <v>-0.0000333333333333333</v>
      </c>
      <c r="AW347" s="32" t="str">
        <f t="shared" si="331"/>
        <v>0.00588059277143195i</v>
      </c>
      <c r="AX347" s="32">
        <f t="shared" si="356"/>
        <v>5.88059277143195E-3</v>
      </c>
      <c r="AY347" s="32">
        <f t="shared" si="357"/>
        <v>1.5707963267948966</v>
      </c>
      <c r="AZ347" s="32" t="str">
        <f t="shared" si="332"/>
        <v>1+2.39920017584463i</v>
      </c>
      <c r="BA347" s="32">
        <f t="shared" si="358"/>
        <v>2.5992617189834699</v>
      </c>
      <c r="BB347" s="32">
        <f t="shared" si="359"/>
        <v>1.1758868563059037</v>
      </c>
      <c r="BC347" s="32" t="str">
        <f t="shared" si="333"/>
        <v>1+115.161608440542i</v>
      </c>
      <c r="BD347" s="32">
        <f t="shared" si="360"/>
        <v>115.16595008340232</v>
      </c>
      <c r="BE347" s="32">
        <f t="shared" si="361"/>
        <v>1.5621130956332245</v>
      </c>
      <c r="BF347" s="59" t="str">
        <f t="shared" si="362"/>
        <v>-0.0946067145191732+0.232648808914871i</v>
      </c>
      <c r="BG347" s="50">
        <f t="shared" si="363"/>
        <v>-12.001365528268774</v>
      </c>
      <c r="BH347" s="61">
        <f t="shared" si="364"/>
        <v>112.12913345066508</v>
      </c>
      <c r="BI347" s="59" t="str">
        <f t="shared" si="365"/>
        <v>0.0694883088023608-0.0196996862283099i</v>
      </c>
      <c r="BJ347" s="64">
        <f t="shared" si="366"/>
        <v>-22.826039132152967</v>
      </c>
      <c r="BK347" s="61">
        <f t="shared" si="367"/>
        <v>-15.827842950099539</v>
      </c>
      <c r="BL347" s="59" t="str">
        <f t="shared" si="318"/>
        <v>0.306009016973839+0.0620312428528807i</v>
      </c>
      <c r="BM347" s="64">
        <f t="shared" si="368"/>
        <v>-10.110426311659852</v>
      </c>
      <c r="BN347" s="61">
        <f t="shared" si="319"/>
        <v>11.459181828446619</v>
      </c>
      <c r="BO347" s="50">
        <f t="shared" si="369"/>
        <v>-22.826039132152967</v>
      </c>
      <c r="BP347" s="61">
        <f t="shared" si="370"/>
        <v>-15.827842950099539</v>
      </c>
    </row>
    <row r="348" spans="14:68" x14ac:dyDescent="0.25">
      <c r="N348" s="11">
        <v>30</v>
      </c>
      <c r="O348" s="51">
        <f t="shared" si="320"/>
        <v>19952.623149688792</v>
      </c>
      <c r="P348" s="49" t="str">
        <f t="shared" si="321"/>
        <v>37.1583961085025</v>
      </c>
      <c r="Q348" s="18" t="str">
        <f t="shared" si="322"/>
        <v>1+98.2631365969647i</v>
      </c>
      <c r="R348" s="18">
        <f t="shared" si="334"/>
        <v>98.268224843403701</v>
      </c>
      <c r="S348" s="18">
        <f t="shared" si="335"/>
        <v>1.560619921739528</v>
      </c>
      <c r="T348" s="18" t="str">
        <f t="shared" si="323"/>
        <v>1+0.112829425752435i</v>
      </c>
      <c r="U348" s="18">
        <f t="shared" si="336"/>
        <v>1.0063451094508404</v>
      </c>
      <c r="V348" s="18">
        <f t="shared" si="337"/>
        <v>0.11235425907546025</v>
      </c>
      <c r="W348" s="32" t="str">
        <f t="shared" si="324"/>
        <v>1-0.987583949366646i</v>
      </c>
      <c r="X348" s="18">
        <f t="shared" si="338"/>
        <v>1.4054615103397965</v>
      </c>
      <c r="Y348" s="18">
        <f t="shared" si="339"/>
        <v>-0.77915143900677353</v>
      </c>
      <c r="Z348" s="32" t="str">
        <f t="shared" si="325"/>
        <v>0.990047320736163+0.237777567604204i</v>
      </c>
      <c r="AA348" s="18">
        <f t="shared" si="340"/>
        <v>1.0182003088551026</v>
      </c>
      <c r="AB348" s="18">
        <f t="shared" si="341"/>
        <v>0.23570371285140043</v>
      </c>
      <c r="AC348" s="32" t="str">
        <f>IMDIV(IMSUM(COMPLEX(0,2*PI()*O348*Constants!$B$61*Constants!$B$62),COMPLEX(1,0)),IMSUM(COMPLEX(0,2*PI()*O348*Constants!$B$61*Constants!$B$62),COMPLEX(2,0)))</f>
        <v>0.529574062549374+0.117950863070233i</v>
      </c>
      <c r="AD348" s="18">
        <f t="shared" si="342"/>
        <v>0.5425505449486353</v>
      </c>
      <c r="AE348" s="18">
        <f t="shared" si="343"/>
        <v>0.21915067507228395</v>
      </c>
      <c r="AF348" s="66" t="str">
        <f t="shared" si="344"/>
        <v>-0.17767759853086-0.222811911485518i</v>
      </c>
      <c r="AG348" s="64">
        <f t="shared" si="345"/>
        <v>-10.903665485191326</v>
      </c>
      <c r="AH348" s="61">
        <f t="shared" si="346"/>
        <v>-128.5700183438654</v>
      </c>
      <c r="AI348" s="50" t="str">
        <f t="shared" si="326"/>
        <v>107.538871525172</v>
      </c>
      <c r="AJ348" s="50" t="str">
        <f t="shared" si="327"/>
        <v>1+93.4139726197106i</v>
      </c>
      <c r="AK348" s="50">
        <f t="shared" si="347"/>
        <v>93.41932498469491</v>
      </c>
      <c r="AL348" s="50">
        <f t="shared" si="348"/>
        <v>1.5600916990468903</v>
      </c>
      <c r="AM348" s="50" t="str">
        <f t="shared" si="328"/>
        <v>1+0.112829425752435i</v>
      </c>
      <c r="AN348" s="50">
        <f t="shared" si="349"/>
        <v>1.0063451094508404</v>
      </c>
      <c r="AO348" s="50">
        <f t="shared" si="350"/>
        <v>0.11235425907546025</v>
      </c>
      <c r="AP348" s="50" t="str">
        <f t="shared" si="329"/>
        <v>1-0.324404155347335i</v>
      </c>
      <c r="AQ348" s="50">
        <f t="shared" si="351"/>
        <v>1.0513030276788029</v>
      </c>
      <c r="AR348" s="50">
        <f t="shared" si="352"/>
        <v>-0.31369288361793518</v>
      </c>
      <c r="AS348" s="59" t="str">
        <f t="shared" si="353"/>
        <v>-0.230765187101049-1.19581479443925i</v>
      </c>
      <c r="AT348" s="50">
        <f t="shared" si="354"/>
        <v>1.7120721094428906</v>
      </c>
      <c r="AU348" s="61">
        <f t="shared" si="355"/>
        <v>-100.92252344803356</v>
      </c>
      <c r="AV348" s="32" t="str">
        <f t="shared" si="330"/>
        <v>-0.0000333333333333333</v>
      </c>
      <c r="AW348" s="32" t="str">
        <f t="shared" si="331"/>
        <v>0.00601756937346316i</v>
      </c>
      <c r="AX348" s="32">
        <f t="shared" si="356"/>
        <v>6.0175693734631601E-3</v>
      </c>
      <c r="AY348" s="32">
        <f t="shared" si="357"/>
        <v>1.5707963267948966</v>
      </c>
      <c r="AZ348" s="32" t="str">
        <f t="shared" si="332"/>
        <v>1+2.45508472702057i</v>
      </c>
      <c r="BA348" s="32">
        <f t="shared" si="358"/>
        <v>2.650932103402436</v>
      </c>
      <c r="BB348" s="32">
        <f t="shared" si="359"/>
        <v>1.1839973616243031</v>
      </c>
      <c r="BC348" s="32" t="str">
        <f t="shared" si="333"/>
        <v>1+117.844066896987i</v>
      </c>
      <c r="BD348" s="32">
        <f t="shared" si="360"/>
        <v>117.84830971558966</v>
      </c>
      <c r="BE348" s="32">
        <f t="shared" si="361"/>
        <v>1.5623107405070946</v>
      </c>
      <c r="BF348" s="59" t="str">
        <f t="shared" si="362"/>
        <v>-0.0909546219183043+0.228840638237887i</v>
      </c>
      <c r="BG348" s="50">
        <f t="shared" si="363"/>
        <v>-12.172352143133978</v>
      </c>
      <c r="BH348" s="61">
        <f t="shared" si="364"/>
        <v>111.67575994331767</v>
      </c>
      <c r="BI348" s="59" t="str">
        <f t="shared" si="365"/>
        <v>0.0671490188290761-0.0203940818803171i</v>
      </c>
      <c r="BJ348" s="64">
        <f t="shared" si="366"/>
        <v>-23.076017628325303</v>
      </c>
      <c r="BK348" s="61">
        <f t="shared" si="367"/>
        <v>-16.894258400547777</v>
      </c>
      <c r="BL348" s="59" t="str">
        <f t="shared" si="318"/>
        <v>0.294640181118468+0.0559564298132473i</v>
      </c>
      <c r="BM348" s="64">
        <f t="shared" si="368"/>
        <v>-10.460280033691095</v>
      </c>
      <c r="BN348" s="61">
        <f t="shared" si="319"/>
        <v>10.753236495284112</v>
      </c>
      <c r="BO348" s="50">
        <f t="shared" si="369"/>
        <v>-23.076017628325303</v>
      </c>
      <c r="BP348" s="61">
        <f t="shared" si="370"/>
        <v>-16.894258400547777</v>
      </c>
    </row>
    <row r="349" spans="14:68" x14ac:dyDescent="0.25">
      <c r="N349" s="11">
        <v>31</v>
      </c>
      <c r="O349" s="51">
        <f t="shared" si="320"/>
        <v>20417.379446695286</v>
      </c>
      <c r="P349" s="49" t="str">
        <f t="shared" si="321"/>
        <v>37.1583961085025</v>
      </c>
      <c r="Q349" s="18" t="str">
        <f t="shared" si="322"/>
        <v>1+100.5519790792i</v>
      </c>
      <c r="R349" s="18">
        <f t="shared" si="334"/>
        <v>100.55695150880356</v>
      </c>
      <c r="S349" s="18">
        <f t="shared" si="335"/>
        <v>1.5608515495489226</v>
      </c>
      <c r="T349" s="18" t="str">
        <f t="shared" si="323"/>
        <v>1+0.115457560695528i</v>
      </c>
      <c r="U349" s="18">
        <f t="shared" si="336"/>
        <v>1.0066431583842219</v>
      </c>
      <c r="V349" s="18">
        <f t="shared" si="337"/>
        <v>0.11494859172421124</v>
      </c>
      <c r="W349" s="32" t="str">
        <f t="shared" si="324"/>
        <v>1-1.01058773467584i</v>
      </c>
      <c r="X349" s="18">
        <f t="shared" si="338"/>
        <v>1.4217199335583808</v>
      </c>
      <c r="Y349" s="18">
        <f t="shared" si="339"/>
        <v>-0.79066410460787873</v>
      </c>
      <c r="Z349" s="32" t="str">
        <f t="shared" si="325"/>
        <v>0.989578265413242+0.243316118650945i</v>
      </c>
      <c r="AA349" s="18">
        <f t="shared" si="340"/>
        <v>1.0190524407377874</v>
      </c>
      <c r="AB349" s="18">
        <f t="shared" si="341"/>
        <v>0.24109595284232335</v>
      </c>
      <c r="AC349" s="32" t="str">
        <f>IMDIV(IMSUM(COMPLEX(0,2*PI()*O349*Constants!$B$61*Constants!$B$62),COMPLEX(1,0)),IMSUM(COMPLEX(0,2*PI()*O349*Constants!$B$61*Constants!$B$62),COMPLEX(2,0)))</f>
        <v>0.530881760255366+0.120362772530434i</v>
      </c>
      <c r="AD349" s="18">
        <f t="shared" si="342"/>
        <v>0.54435525200281565</v>
      </c>
      <c r="AE349" s="18">
        <f t="shared" si="343"/>
        <v>0.22295321593138306</v>
      </c>
      <c r="AF349" s="66" t="str">
        <f t="shared" si="344"/>
        <v>-0.178493094522578-0.218968400631281i</v>
      </c>
      <c r="AG349" s="64">
        <f t="shared" si="345"/>
        <v>-10.979593121580676</v>
      </c>
      <c r="AH349" s="61">
        <f t="shared" si="346"/>
        <v>-129.18535552917305</v>
      </c>
      <c r="AI349" s="50" t="str">
        <f t="shared" si="326"/>
        <v>107.538871525172</v>
      </c>
      <c r="AJ349" s="50" t="str">
        <f t="shared" si="327"/>
        <v>1+95.5898635628558i</v>
      </c>
      <c r="AK349" s="50">
        <f t="shared" si="347"/>
        <v>95.595094099882488</v>
      </c>
      <c r="AL349" s="50">
        <f t="shared" si="348"/>
        <v>1.5603353481397884</v>
      </c>
      <c r="AM349" s="50" t="str">
        <f t="shared" si="328"/>
        <v>1+0.115457560695528i</v>
      </c>
      <c r="AN349" s="50">
        <f t="shared" si="349"/>
        <v>1.0066431583842219</v>
      </c>
      <c r="AO349" s="50">
        <f t="shared" si="350"/>
        <v>0.11494859172421124</v>
      </c>
      <c r="AP349" s="50" t="str">
        <f t="shared" si="329"/>
        <v>1-0.331960498833684i</v>
      </c>
      <c r="AQ349" s="50">
        <f t="shared" si="351"/>
        <v>1.0536592299153973</v>
      </c>
      <c r="AR349" s="50">
        <f t="shared" si="352"/>
        <v>-0.32051449490466632</v>
      </c>
      <c r="AS349" s="59" t="str">
        <f t="shared" si="353"/>
        <v>-0.231320975233107-1.17054118750194i</v>
      </c>
      <c r="AT349" s="50">
        <f t="shared" si="354"/>
        <v>1.5341118375955178</v>
      </c>
      <c r="AU349" s="61">
        <f t="shared" si="355"/>
        <v>-101.17868873752087</v>
      </c>
      <c r="AV349" s="32" t="str">
        <f t="shared" si="330"/>
        <v>-0.0000333333333333333</v>
      </c>
      <c r="AW349" s="32" t="str">
        <f t="shared" si="331"/>
        <v>0.00615773657042814i</v>
      </c>
      <c r="AX349" s="32">
        <f t="shared" si="356"/>
        <v>6.1577365704281401E-3</v>
      </c>
      <c r="AY349" s="32">
        <f t="shared" si="357"/>
        <v>1.5707963267948966</v>
      </c>
      <c r="AZ349" s="32" t="str">
        <f t="shared" si="332"/>
        <v>1+2.51227099661564i</v>
      </c>
      <c r="BA349" s="32">
        <f t="shared" si="358"/>
        <v>2.7039795784058982</v>
      </c>
      <c r="BB349" s="32">
        <f t="shared" si="359"/>
        <v>1.1919753676962759</v>
      </c>
      <c r="BC349" s="32" t="str">
        <f t="shared" si="333"/>
        <v>1+120.589007837551i</v>
      </c>
      <c r="BD349" s="32">
        <f t="shared" si="360"/>
        <v>120.59315408117051</v>
      </c>
      <c r="BE349" s="32">
        <f t="shared" si="361"/>
        <v>1.5625038870749912</v>
      </c>
      <c r="BF349" s="59" t="str">
        <f t="shared" si="362"/>
        <v>-0.0874208787037576+0.225038182519174i</v>
      </c>
      <c r="BG349" s="50">
        <f t="shared" si="363"/>
        <v>-12.344462271952034</v>
      </c>
      <c r="BH349" s="61">
        <f t="shared" si="364"/>
        <v>111.22972034963169</v>
      </c>
      <c r="BI349" s="59" t="str">
        <f t="shared" si="365"/>
        <v>0.0648802740729105-0.0210253515920411i</v>
      </c>
      <c r="BJ349" s="64">
        <f t="shared" si="366"/>
        <v>-23.324055393532706</v>
      </c>
      <c r="BK349" s="61">
        <f t="shared" si="367"/>
        <v>-17.9556351795414</v>
      </c>
      <c r="BL349" s="59" t="str">
        <f t="shared" si="318"/>
        <v>0.283638744316761+0.0502736873253382i</v>
      </c>
      <c r="BM349" s="64">
        <f t="shared" si="368"/>
        <v>-10.810350434356506</v>
      </c>
      <c r="BN349" s="61">
        <f t="shared" si="319"/>
        <v>10.051031612110803</v>
      </c>
      <c r="BO349" s="50">
        <f t="shared" si="369"/>
        <v>-23.324055393532706</v>
      </c>
      <c r="BP349" s="61">
        <f t="shared" si="370"/>
        <v>-17.9556351795414</v>
      </c>
    </row>
    <row r="350" spans="14:68" x14ac:dyDescent="0.25">
      <c r="N350" s="11">
        <v>32</v>
      </c>
      <c r="O350" s="51">
        <f t="shared" si="320"/>
        <v>20892.961308540423</v>
      </c>
      <c r="P350" s="49" t="str">
        <f t="shared" si="321"/>
        <v>37.1583961085025</v>
      </c>
      <c r="Q350" s="18" t="str">
        <f t="shared" si="322"/>
        <v>1+102.894135551707i</v>
      </c>
      <c r="R350" s="18">
        <f t="shared" si="334"/>
        <v>102.89899480040148</v>
      </c>
      <c r="S350" s="18">
        <f t="shared" si="335"/>
        <v>1.5610779058968367</v>
      </c>
      <c r="T350" s="18" t="str">
        <f t="shared" si="323"/>
        <v>1+0.118146912765564i</v>
      </c>
      <c r="U350" s="18">
        <f t="shared" si="336"/>
        <v>1.0069551593770369</v>
      </c>
      <c r="V350" s="18">
        <f t="shared" si="337"/>
        <v>0.11760174592853517</v>
      </c>
      <c r="W350" s="32" t="str">
        <f t="shared" si="324"/>
        <v>1-1.03412734697867i</v>
      </c>
      <c r="X350" s="18">
        <f t="shared" si="338"/>
        <v>1.4385476598879656</v>
      </c>
      <c r="Y350" s="18">
        <f t="shared" si="339"/>
        <v>-0.80217397908357613</v>
      </c>
      <c r="Z350" s="32" t="str">
        <f t="shared" si="325"/>
        <v>0.989087104193996+0.248983679124465i</v>
      </c>
      <c r="AA350" s="18">
        <f t="shared" si="340"/>
        <v>1.0199442005096255</v>
      </c>
      <c r="AB350" s="18">
        <f t="shared" si="341"/>
        <v>0.2466069783456776</v>
      </c>
      <c r="AC350" s="32" t="str">
        <f>IMDIV(IMSUM(COMPLEX(0,2*PI()*O350*Constants!$B$61*Constants!$B$62),COMPLEX(1,0)),IMSUM(COMPLEX(0,2*PI()*O350*Constants!$B$61*Constants!$B$62),COMPLEX(2,0)))</f>
        <v>0.532243318119567+0.122808906421415i</v>
      </c>
      <c r="AD350" s="18">
        <f t="shared" si="342"/>
        <v>0.54622795349501341</v>
      </c>
      <c r="AE350" s="18">
        <f t="shared" si="343"/>
        <v>0.22676945961621153</v>
      </c>
      <c r="AF350" s="66" t="str">
        <f t="shared" si="344"/>
        <v>-0.179332227468799-0.215219215965312i</v>
      </c>
      <c r="AG350" s="64">
        <f t="shared" si="345"/>
        <v>-11.052445543196798</v>
      </c>
      <c r="AH350" s="61">
        <f t="shared" si="346"/>
        <v>-129.80288132984913</v>
      </c>
      <c r="AI350" s="50" t="str">
        <f t="shared" si="326"/>
        <v>107.538871525172</v>
      </c>
      <c r="AJ350" s="50" t="str">
        <f t="shared" si="327"/>
        <v>1+97.8164375169443i</v>
      </c>
      <c r="AK350" s="50">
        <f t="shared" si="347"/>
        <v>97.821548998706135</v>
      </c>
      <c r="AL350" s="50">
        <f t="shared" si="348"/>
        <v>1.5605734523024259</v>
      </c>
      <c r="AM350" s="50" t="str">
        <f t="shared" si="328"/>
        <v>1+0.118146912765564i</v>
      </c>
      <c r="AN350" s="50">
        <f t="shared" si="349"/>
        <v>1.0069551593770369</v>
      </c>
      <c r="AO350" s="50">
        <f t="shared" si="350"/>
        <v>0.11760174592853517</v>
      </c>
      <c r="AP350" s="50" t="str">
        <f t="shared" si="329"/>
        <v>1-0.339692852170534i</v>
      </c>
      <c r="AQ350" s="50">
        <f t="shared" si="351"/>
        <v>1.0561208424303312</v>
      </c>
      <c r="AR350" s="50">
        <f t="shared" si="352"/>
        <v>-0.32746316026189926</v>
      </c>
      <c r="AS350" s="59" t="str">
        <f t="shared" si="353"/>
        <v>-0.231851754130047-1.14588769353894i</v>
      </c>
      <c r="AT350" s="50">
        <f t="shared" si="354"/>
        <v>1.3570936836785708</v>
      </c>
      <c r="AU350" s="61">
        <f t="shared" si="355"/>
        <v>-101.43844576103754</v>
      </c>
      <c r="AV350" s="32" t="str">
        <f t="shared" si="330"/>
        <v>-0.0000333333333333333</v>
      </c>
      <c r="AW350" s="32" t="str">
        <f t="shared" si="331"/>
        <v>0.00630116868083005i</v>
      </c>
      <c r="AX350" s="32">
        <f t="shared" si="356"/>
        <v>6.3011686808300497E-3</v>
      </c>
      <c r="AY350" s="32">
        <f t="shared" si="357"/>
        <v>1.5707963267948966</v>
      </c>
      <c r="AZ350" s="32" t="str">
        <f t="shared" si="332"/>
        <v>1+2.57078930554699i</v>
      </c>
      <c r="BA350" s="32">
        <f t="shared" si="358"/>
        <v>2.7584339132041529</v>
      </c>
      <c r="BB350" s="32">
        <f t="shared" si="359"/>
        <v>1.1998210412158712</v>
      </c>
      <c r="BC350" s="32" t="str">
        <f t="shared" si="333"/>
        <v>1+123.397886666256i</v>
      </c>
      <c r="BD350" s="32">
        <f t="shared" si="360"/>
        <v>123.40193853298319</v>
      </c>
      <c r="BE350" s="32">
        <f t="shared" si="361"/>
        <v>1.562692637688105</v>
      </c>
      <c r="BF350" s="59" t="str">
        <f t="shared" si="362"/>
        <v>-0.0840033904572323+0.221245041782812i</v>
      </c>
      <c r="BG350" s="50">
        <f t="shared" si="363"/>
        <v>-12.51765923765138</v>
      </c>
      <c r="BH350" s="61">
        <f t="shared" si="364"/>
        <v>110.79101098303337</v>
      </c>
      <c r="BI350" s="59" t="str">
        <f t="shared" si="365"/>
        <v>0.0626806995543362-0.0215972223267057i</v>
      </c>
      <c r="BJ350" s="64">
        <f t="shared" si="366"/>
        <v>-23.570104780848176</v>
      </c>
      <c r="BK350" s="61">
        <f t="shared" si="367"/>
        <v>-19.011870346815776</v>
      </c>
      <c r="BL350" s="59" t="str">
        <f t="shared" si="318"/>
        <v>0.272998304065813+0.0449624003105684i</v>
      </c>
      <c r="BM350" s="64">
        <f t="shared" si="368"/>
        <v>-11.160565553972821</v>
      </c>
      <c r="BN350" s="61">
        <f t="shared" si="319"/>
        <v>9.3525652219958495</v>
      </c>
      <c r="BO350" s="50">
        <f t="shared" si="369"/>
        <v>-23.570104780848176</v>
      </c>
      <c r="BP350" s="61">
        <f t="shared" si="370"/>
        <v>-19.011870346815776</v>
      </c>
    </row>
    <row r="351" spans="14:68" x14ac:dyDescent="0.25">
      <c r="N351" s="11">
        <v>33</v>
      </c>
      <c r="O351" s="51">
        <f t="shared" si="320"/>
        <v>21379.620895022348</v>
      </c>
      <c r="P351" s="49" t="str">
        <f t="shared" si="321"/>
        <v>37.1583961085025</v>
      </c>
      <c r="Q351" s="18" t="str">
        <f t="shared" si="322"/>
        <v>1+105.290847856848i</v>
      </c>
      <c r="R351" s="18">
        <f t="shared" si="334"/>
        <v>105.29559650058457</v>
      </c>
      <c r="S351" s="18">
        <f t="shared" si="335"/>
        <v>1.561299110707566</v>
      </c>
      <c r="T351" s="18" t="str">
        <f t="shared" si="323"/>
        <v>1+0.120898907892607i</v>
      </c>
      <c r="U351" s="18">
        <f t="shared" si="336"/>
        <v>1.0072817609435927</v>
      </c>
      <c r="V351" s="18">
        <f t="shared" si="337"/>
        <v>0.12031497893609332</v>
      </c>
      <c r="W351" s="32" t="str">
        <f t="shared" si="324"/>
        <v>1-1.05821526728916i</v>
      </c>
      <c r="X351" s="18">
        <f t="shared" si="338"/>
        <v>1.4559600104137025</v>
      </c>
      <c r="Y351" s="18">
        <f t="shared" si="339"/>
        <v>-0.81367496782654647</v>
      </c>
      <c r="Z351" s="32" t="str">
        <f t="shared" si="325"/>
        <v>0.988572795259628+0.254783254040345i</v>
      </c>
      <c r="AA351" s="18">
        <f t="shared" si="340"/>
        <v>1.0208774059929144</v>
      </c>
      <c r="AB351" s="18">
        <f t="shared" si="341"/>
        <v>0.2522390916104198</v>
      </c>
      <c r="AC351" s="32" t="str">
        <f>IMDIV(IMSUM(COMPLEX(0,2*PI()*O351*Constants!$B$61*Constants!$B$62),COMPLEX(1,0)),IMSUM(COMPLEX(0,2*PI()*O351*Constants!$B$61*Constants!$B$62),COMPLEX(2,0)))</f>
        <v>0.533660598889508+0.125288720670113i</v>
      </c>
      <c r="AD351" s="18">
        <f t="shared" si="342"/>
        <v>0.54817050115293686</v>
      </c>
      <c r="AE351" s="18">
        <f t="shared" si="343"/>
        <v>0.23059615624196986</v>
      </c>
      <c r="AF351" s="66" t="str">
        <f t="shared" si="344"/>
        <v>-0.180195898478006-0.211561086928333i</v>
      </c>
      <c r="AG351" s="64">
        <f t="shared" si="345"/>
        <v>-11.122215268292084</v>
      </c>
      <c r="AH351" s="61">
        <f t="shared" si="346"/>
        <v>-130.42249950061947</v>
      </c>
      <c r="AI351" s="50" t="str">
        <f t="shared" si="326"/>
        <v>107.538871525172</v>
      </c>
      <c r="AJ351" s="50" t="str">
        <f t="shared" si="327"/>
        <v>1+100.094875040957i</v>
      </c>
      <c r="AK351" s="50">
        <f t="shared" si="347"/>
        <v>100.09987017706266</v>
      </c>
      <c r="AL351" s="50">
        <f t="shared" si="348"/>
        <v>1.5608061376727271</v>
      </c>
      <c r="AM351" s="50" t="str">
        <f t="shared" si="328"/>
        <v>1+0.120898907892607i</v>
      </c>
      <c r="AN351" s="50">
        <f t="shared" si="349"/>
        <v>1.0072817609435927</v>
      </c>
      <c r="AO351" s="50">
        <f t="shared" si="350"/>
        <v>0.12031497893609332</v>
      </c>
      <c r="AP351" s="50" t="str">
        <f t="shared" si="329"/>
        <v>1-0.347605315153969i</v>
      </c>
      <c r="AQ351" s="50">
        <f t="shared" si="351"/>
        <v>1.0586923326081521</v>
      </c>
      <c r="AR351" s="50">
        <f t="shared" si="352"/>
        <v>-0.33453987899829302</v>
      </c>
      <c r="AS351" s="59" t="str">
        <f t="shared" si="353"/>
        <v>-0.23235864892207-1.12184127587273i</v>
      </c>
      <c r="AT351" s="50">
        <f t="shared" si="354"/>
        <v>1.1810539711507213</v>
      </c>
      <c r="AU351" s="61">
        <f t="shared" si="355"/>
        <v>-101.70178696693809</v>
      </c>
      <c r="AV351" s="32" t="str">
        <f t="shared" si="330"/>
        <v>-0.0000333333333333333</v>
      </c>
      <c r="AW351" s="32" t="str">
        <f t="shared" si="331"/>
        <v>0.00644794175427236i</v>
      </c>
      <c r="AX351" s="32">
        <f t="shared" si="356"/>
        <v>6.4479417542723603E-3</v>
      </c>
      <c r="AY351" s="32">
        <f t="shared" si="357"/>
        <v>1.5707963267948966</v>
      </c>
      <c r="AZ351" s="32" t="str">
        <f t="shared" si="332"/>
        <v>1+2.63067068099654i</v>
      </c>
      <c r="BA351" s="32">
        <f t="shared" si="358"/>
        <v>2.8143255376474841</v>
      </c>
      <c r="BB351" s="32">
        <f t="shared" si="359"/>
        <v>1.2075346775353004</v>
      </c>
      <c r="BC351" s="32" t="str">
        <f t="shared" si="333"/>
        <v>1+126.272192687834i</v>
      </c>
      <c r="BD351" s="32">
        <f t="shared" si="360"/>
        <v>126.27615232573994</v>
      </c>
      <c r="BE351" s="32">
        <f t="shared" si="361"/>
        <v>1.5628770923706814</v>
      </c>
      <c r="BF351" s="59" t="str">
        <f t="shared" si="362"/>
        <v>-0.0806999599049533+0.217464626798559i</v>
      </c>
      <c r="BG351" s="50">
        <f t="shared" si="363"/>
        <v>-12.69190703361086</v>
      </c>
      <c r="BH351" s="61">
        <f t="shared" si="364"/>
        <v>110.3596206520543</v>
      </c>
      <c r="BI351" s="59" t="str">
        <f t="shared" si="365"/>
        <v>0.0605488545961795-0.0221132625805858i</v>
      </c>
      <c r="BJ351" s="64">
        <f t="shared" si="366"/>
        <v>-23.814122301902948</v>
      </c>
      <c r="BK351" s="61">
        <f t="shared" si="367"/>
        <v>-20.062878848565202</v>
      </c>
      <c r="BL351" s="59" t="str">
        <f t="shared" si="318"/>
        <v>0.262712128036463+0.0400027591113956i</v>
      </c>
      <c r="BM351" s="64">
        <f t="shared" si="368"/>
        <v>-11.510853062460127</v>
      </c>
      <c r="BN351" s="61">
        <f t="shared" si="319"/>
        <v>8.6578336851162021</v>
      </c>
      <c r="BO351" s="50">
        <f t="shared" si="369"/>
        <v>-23.814122301902948</v>
      </c>
      <c r="BP351" s="61">
        <f t="shared" si="370"/>
        <v>-20.062878848565202</v>
      </c>
    </row>
    <row r="352" spans="14:68" x14ac:dyDescent="0.25">
      <c r="N352" s="11">
        <v>34</v>
      </c>
      <c r="O352" s="51">
        <f t="shared" si="320"/>
        <v>21877.61623949555</v>
      </c>
      <c r="P352" s="49" t="str">
        <f t="shared" si="321"/>
        <v>37.1583961085025</v>
      </c>
      <c r="Q352" s="18" t="str">
        <f t="shared" si="322"/>
        <v>1+107.743386763211i</v>
      </c>
      <c r="R352" s="18">
        <f t="shared" si="334"/>
        <v>107.74802731932903</v>
      </c>
      <c r="S352" s="18">
        <f t="shared" si="335"/>
        <v>1.561515281180188</v>
      </c>
      <c r="T352" s="18" t="str">
        <f t="shared" si="323"/>
        <v>1+0.123715005220901i</v>
      </c>
      <c r="U352" s="18">
        <f t="shared" si="336"/>
        <v>1.0076236413050299</v>
      </c>
      <c r="V352" s="18">
        <f t="shared" si="337"/>
        <v>0.12308956946241474</v>
      </c>
      <c r="W352" s="32" t="str">
        <f t="shared" si="324"/>
        <v>1-1.0828642673415i</v>
      </c>
      <c r="X352" s="18">
        <f t="shared" si="338"/>
        <v>1.4739725307769624</v>
      </c>
      <c r="Y352" s="18">
        <f t="shared" si="339"/>
        <v>-0.82516099973318524</v>
      </c>
      <c r="Z352" s="32" t="str">
        <f t="shared" si="325"/>
        <v>0.988034247691934+0.260717918409972i</v>
      </c>
      <c r="AA352" s="18">
        <f t="shared" si="340"/>
        <v>1.0218539560975408</v>
      </c>
      <c r="AB352" s="18">
        <f t="shared" si="341"/>
        <v>0.25799461794439726</v>
      </c>
      <c r="AC352" s="32" t="str">
        <f>IMDIV(IMSUM(COMPLEX(0,2*PI()*O352*Constants!$B$61*Constants!$B$62),COMPLEX(1,0)),IMSUM(COMPLEX(0,2*PI()*O352*Constants!$B$61*Constants!$B$62),COMPLEX(2,0)))</f>
        <v>0.535135497880101+0.127801587348388i</v>
      </c>
      <c r="AD352" s="18">
        <f t="shared" si="342"/>
        <v>0.55018473881065721</v>
      </c>
      <c r="AE352" s="18">
        <f t="shared" si="343"/>
        <v>0.23442988157693564</v>
      </c>
      <c r="AF352" s="66" t="str">
        <f t="shared" si="344"/>
        <v>-0.181084989547521-0.207990727019941i</v>
      </c>
      <c r="AG352" s="64">
        <f t="shared" si="345"/>
        <v>-11.188898403505799</v>
      </c>
      <c r="AH352" s="61">
        <f t="shared" si="346"/>
        <v>-131.04412506723139</v>
      </c>
      <c r="AI352" s="50" t="str">
        <f t="shared" si="326"/>
        <v>107.538871525172</v>
      </c>
      <c r="AJ352" s="50" t="str">
        <f t="shared" si="327"/>
        <v>1+102.426384192629i</v>
      </c>
      <c r="AK352" s="50">
        <f t="shared" si="347"/>
        <v>102.43126563103689</v>
      </c>
      <c r="AL352" s="50">
        <f t="shared" si="348"/>
        <v>1.5610335275227125</v>
      </c>
      <c r="AM352" s="50" t="str">
        <f t="shared" si="328"/>
        <v>1+0.123715005220901i</v>
      </c>
      <c r="AN352" s="50">
        <f t="shared" si="349"/>
        <v>1.0076236413050299</v>
      </c>
      <c r="AO352" s="50">
        <f t="shared" si="350"/>
        <v>0.12308956946241474</v>
      </c>
      <c r="AP352" s="50" t="str">
        <f t="shared" si="329"/>
        <v>1-0.3557020830766i</v>
      </c>
      <c r="AQ352" s="50">
        <f t="shared" si="351"/>
        <v>1.0613783358939604</v>
      </c>
      <c r="AR352" s="50">
        <f t="shared" si="352"/>
        <v>-0.34174556715170651</v>
      </c>
      <c r="AS352" s="59" t="str">
        <f t="shared" si="353"/>
        <v>-0.232842734141595-1.09838921737493i</v>
      </c>
      <c r="AT352" s="50">
        <f t="shared" si="354"/>
        <v>1.0060300680792276</v>
      </c>
      <c r="AU352" s="61">
        <f t="shared" si="355"/>
        <v>-101.96869863828918</v>
      </c>
      <c r="AV352" s="32" t="str">
        <f t="shared" si="330"/>
        <v>-0.0000333333333333333</v>
      </c>
      <c r="AW352" s="32" t="str">
        <f t="shared" si="331"/>
        <v>0.00659813361178137i</v>
      </c>
      <c r="AX352" s="32">
        <f t="shared" si="356"/>
        <v>6.5981336117813703E-3</v>
      </c>
      <c r="AY352" s="32">
        <f t="shared" si="357"/>
        <v>1.5707963267948966</v>
      </c>
      <c r="AZ352" s="32" t="str">
        <f t="shared" si="332"/>
        <v>1+2.6919468728622i</v>
      </c>
      <c r="BA352" s="32">
        <f t="shared" si="358"/>
        <v>2.8716855618804402</v>
      </c>
      <c r="BB352" s="32">
        <f t="shared" si="359"/>
        <v>1.2151166938079132</v>
      </c>
      <c r="BC352" s="32" t="str">
        <f t="shared" si="333"/>
        <v>1+129.213449897386i</v>
      </c>
      <c r="BD352" s="32">
        <f t="shared" si="360"/>
        <v>129.21731940565971</v>
      </c>
      <c r="BE352" s="32">
        <f t="shared" si="361"/>
        <v>1.5630573488727997</v>
      </c>
      <c r="BF352" s="59" t="str">
        <f t="shared" si="362"/>
        <v>-0.0775083002127429+0.21370016004565i</v>
      </c>
      <c r="BG352" s="50">
        <f t="shared" si="363"/>
        <v>-12.867170353808124</v>
      </c>
      <c r="BH352" s="61">
        <f t="shared" si="364"/>
        <v>109.93553105623519</v>
      </c>
      <c r="BI352" s="59" t="str">
        <f t="shared" si="365"/>
        <v>0.0584832413860432-0.0225768835368419i</v>
      </c>
      <c r="BJ352" s="64">
        <f t="shared" si="366"/>
        <v>-24.056068757313916</v>
      </c>
      <c r="BK352" s="61">
        <f t="shared" si="367"/>
        <v>-21.108594010996235</v>
      </c>
      <c r="BL352" s="59" t="str">
        <f t="shared" si="318"/>
        <v>0.252773196085641+0.0353757516592102i</v>
      </c>
      <c r="BM352" s="64">
        <f t="shared" si="368"/>
        <v>-11.861140285728906</v>
      </c>
      <c r="BN352" s="61">
        <f t="shared" si="319"/>
        <v>7.9668324179460193</v>
      </c>
      <c r="BO352" s="50">
        <f t="shared" si="369"/>
        <v>-24.056068757313916</v>
      </c>
      <c r="BP352" s="61">
        <f t="shared" si="370"/>
        <v>-21.108594010996235</v>
      </c>
    </row>
    <row r="353" spans="14:68" x14ac:dyDescent="0.25">
      <c r="N353" s="11">
        <v>35</v>
      </c>
      <c r="O353" s="51">
        <f t="shared" si="320"/>
        <v>22387.211385683382</v>
      </c>
      <c r="P353" s="49" t="str">
        <f t="shared" si="321"/>
        <v>37.1583961085025</v>
      </c>
      <c r="Q353" s="18" t="str">
        <f t="shared" si="322"/>
        <v>1+110.253052639389i</v>
      </c>
      <c r="R353" s="18">
        <f t="shared" si="334"/>
        <v>110.25758756794872</v>
      </c>
      <c r="S353" s="18">
        <f t="shared" si="335"/>
        <v>1.56172653185029</v>
      </c>
      <c r="T353" s="18" t="str">
        <f t="shared" si="323"/>
        <v>1+0.126596697882524i</v>
      </c>
      <c r="U353" s="18">
        <f t="shared" si="336"/>
        <v>1.0079815097087641</v>
      </c>
      <c r="V353" s="18">
        <f t="shared" si="337"/>
        <v>0.12592681766232572</v>
      </c>
      <c r="W353" s="32" t="str">
        <f t="shared" si="324"/>
        <v>1-1.10808741636179i</v>
      </c>
      <c r="X353" s="18">
        <f t="shared" si="338"/>
        <v>1.4926009923282737</v>
      </c>
      <c r="Y353" s="18">
        <f t="shared" si="339"/>
        <v>-0.83662604316406652</v>
      </c>
      <c r="Z353" s="32" t="str">
        <f t="shared" si="325"/>
        <v>0.987470319159318+0.266790818870949i</v>
      </c>
      <c r="AA353" s="18">
        <f t="shared" si="340"/>
        <v>1.0228758342313289</v>
      </c>
      <c r="AB353" s="18">
        <f t="shared" si="341"/>
        <v>0.2638759043691119</v>
      </c>
      <c r="AC353" s="32" t="str">
        <f>IMDIV(IMSUM(COMPLEX(0,2*PI()*O353*Constants!$B$61*Constants!$B$62),COMPLEX(1,0)),IMSUM(COMPLEX(0,2*PI()*O353*Constants!$B$61*Constants!$B$62),COMPLEX(2,0)))</f>
        <v>0.53666994047147+0.130346790146723i</v>
      </c>
      <c r="AD353" s="18">
        <f t="shared" si="342"/>
        <v>0.55227249678687151</v>
      </c>
      <c r="AE353" s="18">
        <f t="shared" si="343"/>
        <v>0.23826703721516457</v>
      </c>
      <c r="AF353" s="66" t="str">
        <f t="shared" si="344"/>
        <v>-0.182000360326477-0.204504830341554i</v>
      </c>
      <c r="AG353" s="64">
        <f t="shared" si="345"/>
        <v>-11.25249473737502</v>
      </c>
      <c r="AH353" s="61">
        <f t="shared" si="346"/>
        <v>-131.66768515912358</v>
      </c>
      <c r="AI353" s="50" t="str">
        <f t="shared" si="326"/>
        <v>107.538871525172</v>
      </c>
      <c r="AJ353" s="50" t="str">
        <f t="shared" si="327"/>
        <v>1+104.812201168973i</v>
      </c>
      <c r="AK353" s="50">
        <f t="shared" si="347"/>
        <v>104.81697149739286</v>
      </c>
      <c r="AL353" s="50">
        <f t="shared" si="348"/>
        <v>1.5612557423233766</v>
      </c>
      <c r="AM353" s="50" t="str">
        <f t="shared" si="328"/>
        <v>1+0.126596697882524i</v>
      </c>
      <c r="AN353" s="50">
        <f t="shared" si="349"/>
        <v>1.0079815097087641</v>
      </c>
      <c r="AO353" s="50">
        <f t="shared" si="350"/>
        <v>0.12592681766232572</v>
      </c>
      <c r="AP353" s="50" t="str">
        <f t="shared" si="329"/>
        <v>1-0.363987448951949i</v>
      </c>
      <c r="AQ353" s="50">
        <f t="shared" si="351"/>
        <v>1.0641836603681469</v>
      </c>
      <c r="AR353" s="50">
        <f t="shared" si="352"/>
        <v>-0.34908105126481448</v>
      </c>
      <c r="AS353" s="59" t="str">
        <f t="shared" si="353"/>
        <v>-0.233305035996885-1.07551911387902i</v>
      </c>
      <c r="AT353" s="50">
        <f t="shared" si="354"/>
        <v>0.83206038836054286</v>
      </c>
      <c r="AU353" s="61">
        <f t="shared" si="355"/>
        <v>-102.23916054159302</v>
      </c>
      <c r="AV353" s="32" t="str">
        <f t="shared" si="330"/>
        <v>-0.0000333333333333333</v>
      </c>
      <c r="AW353" s="32" t="str">
        <f t="shared" si="331"/>
        <v>0.00675182388706797i</v>
      </c>
      <c r="AX353" s="32">
        <f t="shared" si="356"/>
        <v>6.75182388706797E-3</v>
      </c>
      <c r="AY353" s="32">
        <f t="shared" si="357"/>
        <v>1.5707963267948966</v>
      </c>
      <c r="AZ353" s="32" t="str">
        <f t="shared" si="332"/>
        <v>1+2.75465037059196i</v>
      </c>
      <c r="BA353" s="32">
        <f t="shared" si="358"/>
        <v>2.9305457962984338</v>
      </c>
      <c r="BB353" s="32">
        <f t="shared" si="359"/>
        <v>1.2225676221815389</v>
      </c>
      <c r="BC353" s="32" t="str">
        <f t="shared" si="333"/>
        <v>1+132.223217788414i</v>
      </c>
      <c r="BD353" s="32">
        <f t="shared" si="360"/>
        <v>132.22699921847411</v>
      </c>
      <c r="BE353" s="32">
        <f t="shared" si="361"/>
        <v>1.5632335027219604</v>
      </c>
      <c r="BF353" s="59" t="str">
        <f t="shared" si="362"/>
        <v>-0.0744260476891133+0.209954677465793i</v>
      </c>
      <c r="BG353" s="50">
        <f t="shared" si="363"/>
        <v>-13.043414618898536</v>
      </c>
      <c r="BH353" s="61">
        <f t="shared" si="364"/>
        <v>109.51871717907406</v>
      </c>
      <c r="BI353" s="59" t="str">
        <f t="shared" si="365"/>
        <v>0.0564823131916519-0.0229913406953491i</v>
      </c>
      <c r="BJ353" s="64">
        <f t="shared" si="366"/>
        <v>-24.295909356273548</v>
      </c>
      <c r="BK353" s="61">
        <f t="shared" si="367"/>
        <v>-22.148967980049523</v>
      </c>
      <c r="BL353" s="59" t="str">
        <f t="shared" si="318"/>
        <v>0.24317424039798+0.0310631532762416i</v>
      </c>
      <c r="BM353" s="64">
        <f t="shared" si="368"/>
        <v>-12.211354230537976</v>
      </c>
      <c r="BN353" s="61">
        <f t="shared" si="319"/>
        <v>7.2795566374810194</v>
      </c>
      <c r="BO353" s="50">
        <f t="shared" si="369"/>
        <v>-24.295909356273548</v>
      </c>
      <c r="BP353" s="61">
        <f t="shared" si="370"/>
        <v>-22.148967980049523</v>
      </c>
    </row>
    <row r="354" spans="14:68" x14ac:dyDescent="0.25">
      <c r="N354" s="11">
        <v>36</v>
      </c>
      <c r="O354" s="51">
        <f t="shared" si="320"/>
        <v>22908.676527677751</v>
      </c>
      <c r="P354" s="49" t="str">
        <f t="shared" si="321"/>
        <v>37.1583961085025</v>
      </c>
      <c r="Q354" s="18" t="str">
        <f t="shared" si="322"/>
        <v>1+112.821176143448i</v>
      </c>
      <c r="R354" s="18">
        <f t="shared" si="334"/>
        <v>112.82560784853287</v>
      </c>
      <c r="S354" s="18">
        <f t="shared" si="335"/>
        <v>1.5619329746503103</v>
      </c>
      <c r="T354" s="18" t="str">
        <f t="shared" si="323"/>
        <v>1+0.129545513789072i</v>
      </c>
      <c r="U354" s="18">
        <f t="shared" si="336"/>
        <v>1.0083561078026326</v>
      </c>
      <c r="V354" s="18">
        <f t="shared" si="337"/>
        <v>0.1288280450664992</v>
      </c>
      <c r="W354" s="32" t="str">
        <f t="shared" si="324"/>
        <v>1-1.13389808799751i</v>
      </c>
      <c r="X354" s="18">
        <f t="shared" si="338"/>
        <v>1.5118613937674343</v>
      </c>
      <c r="Y354" s="18">
        <f t="shared" si="339"/>
        <v>-0.84806412165104972</v>
      </c>
      <c r="Z354" s="32" t="str">
        <f t="shared" si="325"/>
        <v>0.986879813493756+0.273005175355487i</v>
      </c>
      <c r="AA354" s="18">
        <f t="shared" si="340"/>
        <v>1.0239451118357619</v>
      </c>
      <c r="AB354" s="18">
        <f t="shared" si="341"/>
        <v>0.26988531814214411</v>
      </c>
      <c r="AC354" s="32" t="str">
        <f>IMDIV(IMSUM(COMPLEX(0,2*PI()*O354*Constants!$B$61*Constants!$B$62),COMPLEX(1,0)),IMSUM(COMPLEX(0,2*PI()*O354*Constants!$B$61*Constants!$B$62),COMPLEX(2,0)))</f>
        <v>0.538265879257462+0.132923519790082i</v>
      </c>
      <c r="AD354" s="18">
        <f t="shared" si="342"/>
        <v>0.55443558587647768</v>
      </c>
      <c r="AE354" s="18">
        <f t="shared" si="343"/>
        <v>0.24210385155227135</v>
      </c>
      <c r="AF354" s="66" t="str">
        <f t="shared" si="344"/>
        <v>-0.18294284455339-0.201100068256314i</v>
      </c>
      <c r="AG354" s="64">
        <f t="shared" si="345"/>
        <v>-11.313007826840655</v>
      </c>
      <c r="AH354" s="61">
        <f t="shared" si="346"/>
        <v>-132.29311977590308</v>
      </c>
      <c r="AI354" s="50" t="str">
        <f t="shared" si="326"/>
        <v>107.538871525172</v>
      </c>
      <c r="AJ354" s="50" t="str">
        <f t="shared" si="327"/>
        <v>1+107.253590961732i</v>
      </c>
      <c r="AK354" s="50">
        <f t="shared" si="347"/>
        <v>107.25825270899448</v>
      </c>
      <c r="AL354" s="50">
        <f t="shared" si="348"/>
        <v>1.5614728998081153</v>
      </c>
      <c r="AM354" s="50" t="str">
        <f t="shared" si="328"/>
        <v>1+0.129545513789072i</v>
      </c>
      <c r="AN354" s="50">
        <f t="shared" si="349"/>
        <v>1.0083561078026326</v>
      </c>
      <c r="AO354" s="50">
        <f t="shared" si="350"/>
        <v>0.1288280450664992</v>
      </c>
      <c r="AP354" s="50" t="str">
        <f t="shared" si="329"/>
        <v>1-0.372465805790681i</v>
      </c>
      <c r="AQ354" s="50">
        <f t="shared" si="351"/>
        <v>1.0671132913066452</v>
      </c>
      <c r="AR354" s="50">
        <f t="shared" si="352"/>
        <v>-0.35654706200466896</v>
      </c>
      <c r="AS354" s="59" t="str">
        <f t="shared" si="353"/>
        <v>-0.233746534543675-1.05321886774859i</v>
      </c>
      <c r="AT354" s="50">
        <f t="shared" si="354"/>
        <v>0.65918439019890929</v>
      </c>
      <c r="AU354" s="61">
        <f t="shared" si="355"/>
        <v>-102.5131455684843</v>
      </c>
      <c r="AV354" s="32" t="str">
        <f t="shared" si="330"/>
        <v>-0.0000333333333333333</v>
      </c>
      <c r="AW354" s="32" t="str">
        <f t="shared" si="331"/>
        <v>0.00690909406875047i</v>
      </c>
      <c r="AX354" s="32">
        <f t="shared" si="356"/>
        <v>6.9090940687504699E-3</v>
      </c>
      <c r="AY354" s="32">
        <f t="shared" si="357"/>
        <v>1.5707963267948966</v>
      </c>
      <c r="AZ354" s="32" t="str">
        <f t="shared" si="332"/>
        <v>1+2.81881442041035i</v>
      </c>
      <c r="BA354" s="32">
        <f t="shared" si="358"/>
        <v>2.9909387718095024</v>
      </c>
      <c r="BB354" s="32">
        <f t="shared" si="359"/>
        <v>1.2298881030692361</v>
      </c>
      <c r="BC354" s="32" t="str">
        <f t="shared" si="333"/>
        <v>1+135.303092179697i</v>
      </c>
      <c r="BD354" s="32">
        <f t="shared" si="360"/>
        <v>135.30678753627839</v>
      </c>
      <c r="BE354" s="32">
        <f t="shared" si="361"/>
        <v>1.5634056472735125</v>
      </c>
      <c r="BF354" s="59" t="str">
        <f t="shared" si="362"/>
        <v>-0.0714507738680229+0.206231030925807i</v>
      </c>
      <c r="BG354" s="50">
        <f t="shared" si="363"/>
        <v>-13.220605998411372</v>
      </c>
      <c r="BH354" s="61">
        <f t="shared" si="364"/>
        <v>109.10914767647294</v>
      </c>
      <c r="BI354" s="59" t="str">
        <f t="shared" si="365"/>
        <v>0.0545444822127069-0.0233597359309194i</v>
      </c>
      <c r="BJ354" s="64">
        <f t="shared" si="366"/>
        <v>-24.533613825252026</v>
      </c>
      <c r="BK354" s="61">
        <f t="shared" si="367"/>
        <v>-23.183972099430132</v>
      </c>
      <c r="BL354" s="59" t="str">
        <f t="shared" si="318"/>
        <v>0.233907783668417+0.0270475143587628i</v>
      </c>
      <c r="BM354" s="64">
        <f t="shared" si="368"/>
        <v>-12.561421608212465</v>
      </c>
      <c r="BN354" s="61">
        <f t="shared" si="319"/>
        <v>6.5960021079886513</v>
      </c>
      <c r="BO354" s="50">
        <f t="shared" si="369"/>
        <v>-24.533613825252026</v>
      </c>
      <c r="BP354" s="61">
        <f t="shared" si="370"/>
        <v>-23.183972099430132</v>
      </c>
    </row>
    <row r="355" spans="14:68" x14ac:dyDescent="0.25">
      <c r="N355" s="11">
        <v>37</v>
      </c>
      <c r="O355" s="51">
        <f t="shared" si="320"/>
        <v>23442.288153199243</v>
      </c>
      <c r="P355" s="49" t="str">
        <f t="shared" si="321"/>
        <v>37.1583961085025</v>
      </c>
      <c r="Q355" s="18" t="str">
        <f t="shared" si="322"/>
        <v>1+115.449118928463i</v>
      </c>
      <c r="R355" s="18">
        <f t="shared" si="334"/>
        <v>115.45344975945237</v>
      </c>
      <c r="S355" s="18">
        <f t="shared" si="335"/>
        <v>1.5621347189685273</v>
      </c>
      <c r="T355" s="18" t="str">
        <f t="shared" si="323"/>
        <v>1+0.132563016441767i</v>
      </c>
      <c r="U355" s="18">
        <f t="shared" si="336"/>
        <v>1.0087482110656456</v>
      </c>
      <c r="V355" s="18">
        <f t="shared" si="337"/>
        <v>0.13179459448025374</v>
      </c>
      <c r="W355" s="32" t="str">
        <f t="shared" si="324"/>
        <v>1-1.1603099674084i</v>
      </c>
      <c r="X355" s="18">
        <f t="shared" si="338"/>
        <v>1.5317699632997386</v>
      </c>
      <c r="Y355" s="18">
        <f t="shared" si="339"/>
        <v>-0.85946932925213659</v>
      </c>
      <c r="Z355" s="32" t="str">
        <f t="shared" si="325"/>
        <v>0.986261478153559+0.279364282797649i</v>
      </c>
      <c r="AA355" s="18">
        <f t="shared" si="340"/>
        <v>1.0250639520501577</v>
      </c>
      <c r="AB355" s="18">
        <f t="shared" si="341"/>
        <v>0.27602524514046323</v>
      </c>
      <c r="AC355" s="32" t="str">
        <f>IMDIV(IMSUM(COMPLEX(0,2*PI()*O355*Constants!$B$61*Constants!$B$62),COMPLEX(1,0)),IMSUM(COMPLEX(0,2*PI()*O355*Constants!$B$61*Constants!$B$62),COMPLEX(2,0)))</f>
        <v>0.539925290823761+0.13553086941549i</v>
      </c>
      <c r="AD355" s="18">
        <f t="shared" si="342"/>
        <v>0.55667579095523945</v>
      </c>
      <c r="AE355" s="18">
        <f t="shared" si="343"/>
        <v>0.24593638162102699</v>
      </c>
      <c r="AF355" s="66" t="str">
        <f t="shared" si="344"/>
        <v>-0.183913246157818-0.197773086191328i</v>
      </c>
      <c r="AG355" s="64">
        <f t="shared" si="345"/>
        <v>-11.37044507653478</v>
      </c>
      <c r="AH355" s="61">
        <f t="shared" si="346"/>
        <v>-132.92038247849081</v>
      </c>
      <c r="AI355" s="50" t="str">
        <f t="shared" si="326"/>
        <v>107.538871525172</v>
      </c>
      <c r="AJ355" s="50" t="str">
        <f t="shared" si="327"/>
        <v>1+109.751848028087i</v>
      </c>
      <c r="AK355" s="50">
        <f t="shared" si="347"/>
        <v>109.75640366548232</v>
      </c>
      <c r="AL355" s="50">
        <f t="shared" si="348"/>
        <v>1.5616851150347293</v>
      </c>
      <c r="AM355" s="50" t="str">
        <f t="shared" si="328"/>
        <v>1+0.132563016441767i</v>
      </c>
      <c r="AN355" s="50">
        <f t="shared" si="349"/>
        <v>1.0087482110656456</v>
      </c>
      <c r="AO355" s="50">
        <f t="shared" si="350"/>
        <v>0.13179459448025374</v>
      </c>
      <c r="AP355" s="50" t="str">
        <f t="shared" si="329"/>
        <v>1-0.381141648929808i</v>
      </c>
      <c r="AQ355" s="50">
        <f t="shared" si="351"/>
        <v>1.0701723957143228</v>
      </c>
      <c r="AR355" s="50">
        <f t="shared" si="352"/>
        <v>-0.36414422764262588</v>
      </c>
      <c r="AS355" s="59" t="str">
        <f t="shared" si="353"/>
        <v>-0.234168165759349-1.03147668159846i</v>
      </c>
      <c r="AT355" s="50">
        <f t="shared" si="354"/>
        <v>0.48744257164219995</v>
      </c>
      <c r="AU355" s="61">
        <f t="shared" si="355"/>
        <v>-102.79061937150927</v>
      </c>
      <c r="AV355" s="32" t="str">
        <f t="shared" si="330"/>
        <v>-0.0000333333333333333</v>
      </c>
      <c r="AW355" s="32" t="str">
        <f t="shared" si="331"/>
        <v>0.00707002754356087i</v>
      </c>
      <c r="AX355" s="32">
        <f t="shared" si="356"/>
        <v>7.0700275435608704E-3</v>
      </c>
      <c r="AY355" s="32">
        <f t="shared" si="357"/>
        <v>1.5707963267948966</v>
      </c>
      <c r="AZ355" s="32" t="str">
        <f t="shared" si="332"/>
        <v>1+2.88447304294585i</v>
      </c>
      <c r="BA355" s="32">
        <f t="shared" si="358"/>
        <v>3.0528977604042504</v>
      </c>
      <c r="BB355" s="32">
        <f t="shared" si="359"/>
        <v>1.2370788785215081</v>
      </c>
      <c r="BC355" s="32" t="str">
        <f t="shared" si="333"/>
        <v>1+138.454706061401i</v>
      </c>
      <c r="BD355" s="32">
        <f t="shared" si="360"/>
        <v>138.4583173036165</v>
      </c>
      <c r="BE355" s="32">
        <f t="shared" si="361"/>
        <v>1.5635738737599421</v>
      </c>
      <c r="BF355" s="59" t="str">
        <f t="shared" si="362"/>
        <v>-0.0685799969508583+0.202531891312214i</v>
      </c>
      <c r="BG355" s="50">
        <f t="shared" si="363"/>
        <v>-13.398711429264171</v>
      </c>
      <c r="BH355" s="61">
        <f t="shared" si="364"/>
        <v>108.70678525930622</v>
      </c>
      <c r="BI355" s="59" t="str">
        <f t="shared" si="365"/>
        <v>0.0526681270577088-0.0236850199337485i</v>
      </c>
      <c r="BJ355" s="64">
        <f t="shared" si="366"/>
        <v>-24.769156505798954</v>
      </c>
      <c r="BK355" s="61">
        <f t="shared" si="367"/>
        <v>-24.213597219184546</v>
      </c>
      <c r="BL355" s="59" t="str">
        <f t="shared" si="318"/>
        <v>0.224966175262347+0.0233121461825508i</v>
      </c>
      <c r="BM355" s="64">
        <f t="shared" si="368"/>
        <v>-12.911268857621961</v>
      </c>
      <c r="BN355" s="61">
        <f t="shared" si="319"/>
        <v>5.9161658877969305</v>
      </c>
      <c r="BO355" s="50">
        <f t="shared" si="369"/>
        <v>-24.769156505798954</v>
      </c>
      <c r="BP355" s="61">
        <f t="shared" si="370"/>
        <v>-24.213597219184546</v>
      </c>
    </row>
    <row r="356" spans="14:68" x14ac:dyDescent="0.25">
      <c r="N356" s="11">
        <v>38</v>
      </c>
      <c r="O356" s="51">
        <f t="shared" si="320"/>
        <v>23988.329190194923</v>
      </c>
      <c r="P356" s="49" t="str">
        <f t="shared" si="321"/>
        <v>37.1583961085025</v>
      </c>
      <c r="Q356" s="18" t="str">
        <f t="shared" si="322"/>
        <v>1+118.138274364483i</v>
      </c>
      <c r="R356" s="18">
        <f t="shared" si="334"/>
        <v>118.14250661729614</v>
      </c>
      <c r="S356" s="18">
        <f t="shared" si="335"/>
        <v>1.5623318717067221</v>
      </c>
      <c r="T356" s="18" t="str">
        <f t="shared" si="323"/>
        <v>1+0.135650805760458i</v>
      </c>
      <c r="U356" s="18">
        <f t="shared" si="336"/>
        <v>1.0091586302972697</v>
      </c>
      <c r="V356" s="18">
        <f t="shared" si="337"/>
        <v>0.13482782984162942</v>
      </c>
      <c r="W356" s="32" t="str">
        <f t="shared" si="324"/>
        <v>1-1.18733705852252i</v>
      </c>
      <c r="X356" s="18">
        <f t="shared" si="338"/>
        <v>1.5523431613341525</v>
      </c>
      <c r="Y356" s="18">
        <f t="shared" si="339"/>
        <v>-0.87083584545934944</v>
      </c>
      <c r="Z356" s="32" t="str">
        <f t="shared" si="325"/>
        <v>0.985614001566571+0.285871512880372i</v>
      </c>
      <c r="AA356" s="18">
        <f t="shared" si="340"/>
        <v>1.0262346135073506</v>
      </c>
      <c r="AB356" s="18">
        <f t="shared" si="341"/>
        <v>0.28229808809780316</v>
      </c>
      <c r="AC356" s="32" t="str">
        <f>IMDIV(IMSUM(COMPLEX(0,2*PI()*O356*Constants!$B$61*Constants!$B$62),COMPLEX(1,0)),IMSUM(COMPLEX(0,2*PI()*O356*Constants!$B$61*Constants!$B$62),COMPLEX(2,0)))</f>
        <v>0.54165017213479+0.138167829933518i</v>
      </c>
      <c r="AD356" s="18">
        <f t="shared" si="342"/>
        <v>0.55899486420018685</v>
      </c>
      <c r="AE356" s="18">
        <f t="shared" si="343"/>
        <v>0.24976051584101286</v>
      </c>
      <c r="AF356" s="66" t="str">
        <f t="shared" si="344"/>
        <v>-0.184912335016833-0.194520500610092i</v>
      </c>
      <c r="AG356" s="64">
        <f t="shared" si="345"/>
        <v>-11.42481781065522</v>
      </c>
      <c r="AH356" s="61">
        <f t="shared" si="346"/>
        <v>-133.5494409961797</v>
      </c>
      <c r="AI356" s="50" t="str">
        <f t="shared" si="326"/>
        <v>107.538871525172</v>
      </c>
      <c r="AJ356" s="50" t="str">
        <f t="shared" si="327"/>
        <v>1+112.308296977003i</v>
      </c>
      <c r="AK356" s="50">
        <f t="shared" si="347"/>
        <v>112.31274891958927</v>
      </c>
      <c r="AL356" s="50">
        <f t="shared" si="348"/>
        <v>1.5618925004460396</v>
      </c>
      <c r="AM356" s="50" t="str">
        <f t="shared" si="328"/>
        <v>1+0.135650805760458i</v>
      </c>
      <c r="AN356" s="50">
        <f t="shared" si="349"/>
        <v>1.0091586302972697</v>
      </c>
      <c r="AO356" s="50">
        <f t="shared" si="350"/>
        <v>0.13482782984162942</v>
      </c>
      <c r="AP356" s="50" t="str">
        <f t="shared" si="329"/>
        <v>1-0.390019578416203i</v>
      </c>
      <c r="AQ356" s="50">
        <f t="shared" si="351"/>
        <v>1.0733663268185529</v>
      </c>
      <c r="AR356" s="50">
        <f t="shared" si="352"/>
        <v>-0.37187306741376253</v>
      </c>
      <c r="AS356" s="59" t="str">
        <f t="shared" si="353"/>
        <v>-0.234570823524022-1.01028105216592i</v>
      </c>
      <c r="AT356" s="50">
        <f t="shared" si="354"/>
        <v>0.31687646297388716</v>
      </c>
      <c r="AU356" s="61">
        <f t="shared" si="355"/>
        <v>-103.07153999525232</v>
      </c>
      <c r="AV356" s="32" t="str">
        <f t="shared" si="330"/>
        <v>-0.0000333333333333333</v>
      </c>
      <c r="AW356" s="32" t="str">
        <f t="shared" si="331"/>
        <v>0.00723470964055776i</v>
      </c>
      <c r="AX356" s="32">
        <f t="shared" si="356"/>
        <v>7.2347096405577602E-3</v>
      </c>
      <c r="AY356" s="32">
        <f t="shared" si="357"/>
        <v>1.5707963267948966</v>
      </c>
      <c r="AZ356" s="32" t="str">
        <f t="shared" si="332"/>
        <v>1+2.95166105126923i</v>
      </c>
      <c r="BA356" s="32">
        <f t="shared" si="358"/>
        <v>3.1164567960393379</v>
      </c>
      <c r="BB356" s="32">
        <f t="shared" si="359"/>
        <v>1.2441407857214462</v>
      </c>
      <c r="BC356" s="32" t="str">
        <f t="shared" si="333"/>
        <v>1+141.679730460923i</v>
      </c>
      <c r="BD356" s="32">
        <f t="shared" si="360"/>
        <v>141.68325950330123</v>
      </c>
      <c r="BE356" s="32">
        <f t="shared" si="361"/>
        <v>1.5637382713390502</v>
      </c>
      <c r="BF356" s="59" t="str">
        <f t="shared" si="362"/>
        <v>-0.0658111925945083+0.198859752182883i</v>
      </c>
      <c r="BG356" s="50">
        <f t="shared" si="363"/>
        <v>-13.577698630795403</v>
      </c>
      <c r="BH356" s="61">
        <f t="shared" si="364"/>
        <v>108.31158706888178</v>
      </c>
      <c r="BI356" s="59" t="str">
        <f t="shared" si="365"/>
        <v>0.0508515998387063-0.0239699949877747i</v>
      </c>
      <c r="BJ356" s="64">
        <f t="shared" si="366"/>
        <v>-25.002516441450624</v>
      </c>
      <c r="BK356" s="61">
        <f t="shared" si="367"/>
        <v>-25.237853927297895</v>
      </c>
      <c r="BL356" s="59" t="str">
        <f t="shared" si="318"/>
        <v>0.216341625312769+0.0198411050633521i</v>
      </c>
      <c r="BM356" s="64">
        <f t="shared" si="368"/>
        <v>-13.260822167821518</v>
      </c>
      <c r="BN356" s="61">
        <f t="shared" si="319"/>
        <v>5.2400470736294666</v>
      </c>
      <c r="BO356" s="50">
        <f t="shared" si="369"/>
        <v>-25.002516441450624</v>
      </c>
      <c r="BP356" s="61">
        <f t="shared" si="370"/>
        <v>-25.237853927297895</v>
      </c>
    </row>
    <row r="357" spans="14:68" x14ac:dyDescent="0.25">
      <c r="N357" s="11">
        <v>39</v>
      </c>
      <c r="O357" s="51">
        <f t="shared" si="320"/>
        <v>24547.089156850321</v>
      </c>
      <c r="P357" s="49" t="str">
        <f t="shared" si="321"/>
        <v>37.1583961085025</v>
      </c>
      <c r="Q357" s="18" t="str">
        <f t="shared" si="322"/>
        <v>1+120.890068277317i</v>
      </c>
      <c r="R357" s="18">
        <f t="shared" si="334"/>
        <v>120.89420419562869</v>
      </c>
      <c r="S357" s="18">
        <f t="shared" si="335"/>
        <v>1.5625245373365453</v>
      </c>
      <c r="T357" s="18" t="str">
        <f t="shared" si="323"/>
        <v>1+0.138810518931914i</v>
      </c>
      <c r="U357" s="18">
        <f t="shared" si="336"/>
        <v>1.0095882131672038</v>
      </c>
      <c r="V357" s="18">
        <f t="shared" si="337"/>
        <v>0.13792913603551973</v>
      </c>
      <c r="W357" s="32" t="str">
        <f t="shared" si="324"/>
        <v>1-1.21499369146134i</v>
      </c>
      <c r="X357" s="18">
        <f t="shared" si="338"/>
        <v>1.5735976837460246</v>
      </c>
      <c r="Y357" s="18">
        <f t="shared" si="339"/>
        <v>-0.88215794957013149</v>
      </c>
      <c r="Z357" s="32" t="str">
        <f t="shared" si="325"/>
        <v>0.984936010348141+0.292530315823182i</v>
      </c>
      <c r="AA357" s="18">
        <f t="shared" si="340"/>
        <v>1.0274594542638282</v>
      </c>
      <c r="AB357" s="18">
        <f t="shared" si="341"/>
        <v>0.2887062646892164</v>
      </c>
      <c r="AC357" s="32" t="str">
        <f>IMDIV(IMSUM(COMPLEX(0,2*PI()*O357*Constants!$B$61*Constants!$B$62),COMPLEX(1,0)),IMSUM(COMPLEX(0,2*PI()*O357*Constants!$B$61*Constants!$B$62),COMPLEX(2,0)))</f>
        <v>0.543442536509067+0.1408332853987i</v>
      </c>
      <c r="AD357" s="18">
        <f t="shared" si="342"/>
        <v>0.56139451793155271</v>
      </c>
      <c r="AE357" s="18">
        <f t="shared" si="343"/>
        <v>0.25357197773340839</v>
      </c>
      <c r="AF357" s="66" t="str">
        <f t="shared" si="344"/>
        <v>-0.185940842358627-0.191338896185512i</v>
      </c>
      <c r="AG357" s="64">
        <f t="shared" si="345"/>
        <v>-11.476141337245075</v>
      </c>
      <c r="AH357" s="61">
        <f t="shared" si="346"/>
        <v>-134.18027774134706</v>
      </c>
      <c r="AI357" s="50" t="str">
        <f t="shared" si="326"/>
        <v>107.538871525172</v>
      </c>
      <c r="AJ357" s="50" t="str">
        <f t="shared" si="327"/>
        <v>1+114.924293271553i</v>
      </c>
      <c r="AK357" s="50">
        <f t="shared" si="347"/>
        <v>114.9286438794347</v>
      </c>
      <c r="AL357" s="50">
        <f t="shared" si="348"/>
        <v>1.5620951659291402</v>
      </c>
      <c r="AM357" s="50" t="str">
        <f t="shared" si="328"/>
        <v>1+0.138810518931914i</v>
      </c>
      <c r="AN357" s="50">
        <f t="shared" si="349"/>
        <v>1.0095882131672038</v>
      </c>
      <c r="AO357" s="50">
        <f t="shared" si="350"/>
        <v>0.13792913603551973</v>
      </c>
      <c r="AP357" s="50" t="str">
        <f t="shared" si="329"/>
        <v>1-0.399104301445594i</v>
      </c>
      <c r="AQ357" s="50">
        <f t="shared" si="351"/>
        <v>1.076700628509325</v>
      </c>
      <c r="AR357" s="50">
        <f t="shared" si="352"/>
        <v>-0.37973398477739628</v>
      </c>
      <c r="AS357" s="59" t="str">
        <f t="shared" si="353"/>
        <v>-0.234955361512708-0.989620764329542i</v>
      </c>
      <c r="AT357" s="50">
        <f t="shared" si="354"/>
        <v>0.14752861576385215</v>
      </c>
      <c r="AU357" s="61">
        <f t="shared" si="355"/>
        <v>-103.3558575042366</v>
      </c>
      <c r="AV357" s="32" t="str">
        <f t="shared" si="330"/>
        <v>-0.0000333333333333333</v>
      </c>
      <c r="AW357" s="32" t="str">
        <f t="shared" si="331"/>
        <v>0.00740322767636877i</v>
      </c>
      <c r="AX357" s="32">
        <f t="shared" si="356"/>
        <v>7.4032276763687701E-3</v>
      </c>
      <c r="AY357" s="32">
        <f t="shared" si="357"/>
        <v>1.5707963267948966</v>
      </c>
      <c r="AZ357" s="32" t="str">
        <f t="shared" si="332"/>
        <v>1+3.02041406935184i</v>
      </c>
      <c r="BA357" s="32">
        <f t="shared" si="358"/>
        <v>3.1816506958399033</v>
      </c>
      <c r="BB357" s="32">
        <f t="shared" si="359"/>
        <v>1.2510747506214666</v>
      </c>
      <c r="BC357" s="32" t="str">
        <f t="shared" si="333"/>
        <v>1+144.979875328888i</v>
      </c>
      <c r="BD357" s="32">
        <f t="shared" si="360"/>
        <v>144.98332404238738</v>
      </c>
      <c r="BE357" s="32">
        <f t="shared" si="361"/>
        <v>1.5638989271410442</v>
      </c>
      <c r="BF357" s="59" t="str">
        <f t="shared" si="362"/>
        <v>-0.0631418040389893+0.195216933903806i</v>
      </c>
      <c r="BG357" s="50">
        <f t="shared" si="363"/>
        <v>-13.757536116523202</v>
      </c>
      <c r="BH357" s="61">
        <f t="shared" si="364"/>
        <v>107.92350504422724</v>
      </c>
      <c r="BI357" s="59" t="str">
        <f t="shared" si="365"/>
        <v>0.0490932328809273-0.02421731804476i</v>
      </c>
      <c r="BJ357" s="64">
        <f t="shared" si="366"/>
        <v>-25.233677453768276</v>
      </c>
      <c r="BK357" s="61">
        <f t="shared" si="367"/>
        <v>-26.256772697119825</v>
      </c>
      <c r="BL357" s="59" t="str">
        <f t="shared" si="318"/>
        <v>0.208026236734499+0.0166191750954396i</v>
      </c>
      <c r="BM357" s="64">
        <f t="shared" si="368"/>
        <v>-13.610007500759373</v>
      </c>
      <c r="BN357" s="61">
        <f t="shared" si="319"/>
        <v>4.5676475399906424</v>
      </c>
      <c r="BO357" s="50">
        <f t="shared" si="369"/>
        <v>-25.233677453768276</v>
      </c>
      <c r="BP357" s="61">
        <f t="shared" si="370"/>
        <v>-26.256772697119825</v>
      </c>
    </row>
    <row r="358" spans="14:68" x14ac:dyDescent="0.25">
      <c r="N358" s="11">
        <v>40</v>
      </c>
      <c r="O358" s="51">
        <f t="shared" si="320"/>
        <v>25118.86431509586</v>
      </c>
      <c r="P358" s="49" t="str">
        <f t="shared" si="321"/>
        <v>37.1583961085025</v>
      </c>
      <c r="Q358" s="18" t="str">
        <f t="shared" si="322"/>
        <v>1+123.705959704521i</v>
      </c>
      <c r="R358" s="18">
        <f t="shared" si="334"/>
        <v>123.7100014809497</v>
      </c>
      <c r="S358" s="18">
        <f t="shared" si="335"/>
        <v>1.5627128179546173</v>
      </c>
      <c r="T358" s="18" t="str">
        <f t="shared" si="323"/>
        <v>1+0.142043831277883i</v>
      </c>
      <c r="U358" s="18">
        <f t="shared" si="336"/>
        <v>1.0100378458276202</v>
      </c>
      <c r="V358" s="18">
        <f t="shared" si="337"/>
        <v>0.14109991866052526</v>
      </c>
      <c r="W358" s="32" t="str">
        <f t="shared" si="324"/>
        <v>1-1.24329453013772i</v>
      </c>
      <c r="X358" s="18">
        <f t="shared" si="338"/>
        <v>1.5955504657234676</v>
      </c>
      <c r="Y358" s="18">
        <f t="shared" si="339"/>
        <v>-0.89343003443894342</v>
      </c>
      <c r="Z358" s="32" t="str">
        <f t="shared" si="325"/>
        <v>0.984226066387995+0.299344222211539i</v>
      </c>
      <c r="AA358" s="18">
        <f t="shared" si="340"/>
        <v>1.0287409358672461</v>
      </c>
      <c r="AB358" s="18">
        <f t="shared" si="341"/>
        <v>0.29525220545590697</v>
      </c>
      <c r="AC358" s="32" t="str">
        <f>IMDIV(IMSUM(COMPLEX(0,2*PI()*O358*Constants!$B$61*Constants!$B$62),COMPLEX(1,0)),IMSUM(COMPLEX(0,2*PI()*O358*Constants!$B$61*Constants!$B$62),COMPLEX(2,0)))</f>
        <v>0.545304409163448+0.143526008416855i</v>
      </c>
      <c r="AD358" s="18">
        <f t="shared" si="342"/>
        <v>0.56387641708549252</v>
      </c>
      <c r="AE358" s="18">
        <f t="shared" si="343"/>
        <v>0.25736633064789516</v>
      </c>
      <c r="AF358" s="66" t="str">
        <f t="shared" si="344"/>
        <v>-0.186999455807391-0.188224823206539i</v>
      </c>
      <c r="AG358" s="64">
        <f t="shared" si="345"/>
        <v>-11.524435004703131</v>
      </c>
      <c r="AH358" s="61">
        <f t="shared" si="346"/>
        <v>-134.81289022414751</v>
      </c>
      <c r="AI358" s="50" t="str">
        <f t="shared" si="326"/>
        <v>107.538871525172</v>
      </c>
      <c r="AJ358" s="50" t="str">
        <f t="shared" si="327"/>
        <v>1+117.601223947598i</v>
      </c>
      <c r="AK358" s="50">
        <f t="shared" si="347"/>
        <v>117.60547552717557</v>
      </c>
      <c r="AL358" s="50">
        <f t="shared" si="348"/>
        <v>1.5622932188733218</v>
      </c>
      <c r="AM358" s="50" t="str">
        <f t="shared" si="328"/>
        <v>1+0.142043831277883i</v>
      </c>
      <c r="AN358" s="50">
        <f t="shared" si="349"/>
        <v>1.0100378458276202</v>
      </c>
      <c r="AO358" s="50">
        <f t="shared" si="350"/>
        <v>0.14109991866052526</v>
      </c>
      <c r="AP358" s="50" t="str">
        <f t="shared" si="329"/>
        <v>1-0.408400634858384i</v>
      </c>
      <c r="AQ358" s="50">
        <f t="shared" si="351"/>
        <v>1.080181039711738</v>
      </c>
      <c r="AR358" s="50">
        <f t="shared" si="352"/>
        <v>-0.38772726060320484</v>
      </c>
      <c r="AS358" s="59" t="str">
        <f t="shared" si="353"/>
        <v>-0.235322595002561-0.969484885272899i</v>
      </c>
      <c r="AT358" s="50">
        <f t="shared" si="354"/>
        <v>-2.0557411615758359E-2</v>
      </c>
      <c r="AU358" s="61">
        <f t="shared" si="355"/>
        <v>-103.64351360919484</v>
      </c>
      <c r="AV358" s="32" t="str">
        <f t="shared" si="330"/>
        <v>-0.0000333333333333333</v>
      </c>
      <c r="AW358" s="32" t="str">
        <f t="shared" si="331"/>
        <v>0.0075756710014871i</v>
      </c>
      <c r="AX358" s="32">
        <f t="shared" si="356"/>
        <v>7.5756710014871003E-3</v>
      </c>
      <c r="AY358" s="32">
        <f t="shared" si="357"/>
        <v>1.5707963267948966</v>
      </c>
      <c r="AZ358" s="32" t="str">
        <f t="shared" si="332"/>
        <v>1+3.09076855095394i</v>
      </c>
      <c r="BA358" s="32">
        <f t="shared" si="358"/>
        <v>3.2485150816282071</v>
      </c>
      <c r="BB358" s="32">
        <f t="shared" si="359"/>
        <v>1.257881781737888</v>
      </c>
      <c r="BC358" s="32" t="str">
        <f t="shared" si="333"/>
        <v>1+148.356890445789i</v>
      </c>
      <c r="BD358" s="32">
        <f t="shared" si="360"/>
        <v>148.36026065878906</v>
      </c>
      <c r="BE358" s="32">
        <f t="shared" si="361"/>
        <v>1.5640559263145652</v>
      </c>
      <c r="BF358" s="59" t="str">
        <f t="shared" si="362"/>
        <v>-0.0605692515739999+0.191605588202648i</v>
      </c>
      <c r="BG358" s="50">
        <f t="shared" si="363"/>
        <v>-13.938193202836251</v>
      </c>
      <c r="BH358" s="61">
        <f t="shared" si="364"/>
        <v>107.54248628027182</v>
      </c>
      <c r="BI358" s="59" t="str">
        <f t="shared" si="365"/>
        <v>0.0473913450478273-0.0244295040542817i</v>
      </c>
      <c r="BJ358" s="64">
        <f t="shared" si="366"/>
        <v>-25.462628207539378</v>
      </c>
      <c r="BK358" s="61">
        <f t="shared" si="367"/>
        <v>-27.270403943875682</v>
      </c>
      <c r="BL358" s="59" t="str">
        <f t="shared" si="318"/>
        <v>0.200012035154047+0.0136318496804454i</v>
      </c>
      <c r="BM358" s="64">
        <f t="shared" si="368"/>
        <v>-13.958750614452018</v>
      </c>
      <c r="BN358" s="61">
        <f t="shared" si="319"/>
        <v>3.8989726710769643</v>
      </c>
      <c r="BO358" s="50">
        <f t="shared" si="369"/>
        <v>-25.462628207539378</v>
      </c>
      <c r="BP358" s="61">
        <f t="shared" si="370"/>
        <v>-27.270403943875682</v>
      </c>
    </row>
    <row r="359" spans="14:68" x14ac:dyDescent="0.25">
      <c r="N359" s="11">
        <v>41</v>
      </c>
      <c r="O359" s="51">
        <f t="shared" si="320"/>
        <v>25703.95782768865</v>
      </c>
      <c r="P359" s="49" t="str">
        <f t="shared" si="321"/>
        <v>37.1583961085025</v>
      </c>
      <c r="Q359" s="18" t="str">
        <f t="shared" si="322"/>
        <v>1+126.587441669001i</v>
      </c>
      <c r="R359" s="18">
        <f t="shared" si="334"/>
        <v>126.59139144626988</v>
      </c>
      <c r="S359" s="18">
        <f t="shared" si="335"/>
        <v>1.5628968133363876</v>
      </c>
      <c r="T359" s="18" t="str">
        <f t="shared" si="323"/>
        <v>1+0.145352457143367i</v>
      </c>
      <c r="U359" s="18">
        <f t="shared" si="336"/>
        <v>1.0105084545898735</v>
      </c>
      <c r="V359" s="18">
        <f t="shared" si="337"/>
        <v>0.14434160374498001</v>
      </c>
      <c r="W359" s="32" t="str">
        <f t="shared" si="324"/>
        <v>1-1.27225458003092i</v>
      </c>
      <c r="X359" s="18">
        <f t="shared" si="338"/>
        <v>1.618218686213224</v>
      </c>
      <c r="Y359" s="18">
        <f t="shared" si="339"/>
        <v>-0.90464661953287107</v>
      </c>
      <c r="Z359" s="32" t="str">
        <f t="shared" si="325"/>
        <v>0.98348266379981+0.3063168448688i</v>
      </c>
      <c r="AA359" s="18">
        <f t="shared" si="340"/>
        <v>1.03008162756412</v>
      </c>
      <c r="AB359" s="18">
        <f t="shared" si="341"/>
        <v>0.30193835156351639</v>
      </c>
      <c r="AC359" s="32" t="str">
        <f>IMDIV(IMSUM(COMPLEX(0,2*PI()*O359*Constants!$B$61*Constants!$B$62),COMPLEX(1,0)),IMSUM(COMPLEX(0,2*PI()*O359*Constants!$B$61*Constants!$B$62),COMPLEX(2,0)))</f>
        <v>0.547237822307778+0.146244655620325i</v>
      </c>
      <c r="AD359" s="18">
        <f t="shared" si="342"/>
        <v>0.56644217133054864</v>
      </c>
      <c r="AE359" s="18">
        <f t="shared" si="343"/>
        <v>0.26113898354363252</v>
      </c>
      <c r="AF359" s="66" t="str">
        <f t="shared" si="344"/>
        <v>-0.188088814065926-0.185174795253972i</v>
      </c>
      <c r="AG359" s="64">
        <f t="shared" si="345"/>
        <v>-11.569722250351731</v>
      </c>
      <c r="AH359" s="61">
        <f t="shared" si="346"/>
        <v>-135.44729136023463</v>
      </c>
      <c r="AI359" s="50" t="str">
        <f t="shared" si="326"/>
        <v>107.538871525172</v>
      </c>
      <c r="AJ359" s="50" t="str">
        <f t="shared" si="327"/>
        <v>1+120.340508349217i</v>
      </c>
      <c r="AK359" s="50">
        <f t="shared" si="347"/>
        <v>120.34466315440817</v>
      </c>
      <c r="AL359" s="50">
        <f t="shared" si="348"/>
        <v>1.5624867642266922</v>
      </c>
      <c r="AM359" s="50" t="str">
        <f t="shared" si="328"/>
        <v>1+0.145352457143367i</v>
      </c>
      <c r="AN359" s="50">
        <f t="shared" si="349"/>
        <v>1.0105084545898735</v>
      </c>
      <c r="AO359" s="50">
        <f t="shared" si="350"/>
        <v>0.14434160374498001</v>
      </c>
      <c r="AP359" s="50" t="str">
        <f t="shared" si="329"/>
        <v>1-0.417913507693594i</v>
      </c>
      <c r="AQ359" s="50">
        <f t="shared" si="351"/>
        <v>1.0838134986762085</v>
      </c>
      <c r="AR359" s="50">
        <f t="shared" si="352"/>
        <v>-0.39585304631021895</v>
      </c>
      <c r="AS359" s="59" t="str">
        <f t="shared" si="353"/>
        <v>-0.235673302598948-0.949862758790545i</v>
      </c>
      <c r="AT359" s="50">
        <f t="shared" si="354"/>
        <v>-0.18733707219699999</v>
      </c>
      <c r="AU359" s="61">
        <f t="shared" si="355"/>
        <v>-103.93444129347722</v>
      </c>
      <c r="AV359" s="32" t="str">
        <f t="shared" si="330"/>
        <v>-0.0000333333333333333</v>
      </c>
      <c r="AW359" s="32" t="str">
        <f t="shared" si="331"/>
        <v>0.00775213104764626i</v>
      </c>
      <c r="AX359" s="32">
        <f t="shared" si="356"/>
        <v>7.75213104764626E-3</v>
      </c>
      <c r="AY359" s="32">
        <f t="shared" si="357"/>
        <v>1.5707963267948966</v>
      </c>
      <c r="AZ359" s="32" t="str">
        <f t="shared" si="332"/>
        <v>1+3.1627617989529i</v>
      </c>
      <c r="BA359" s="32">
        <f t="shared" si="358"/>
        <v>3.3170864017863302</v>
      </c>
      <c r="BB359" s="32">
        <f t="shared" si="359"/>
        <v>1.2645629641171447</v>
      </c>
      <c r="BC359" s="32" t="str">
        <f t="shared" si="333"/>
        <v>1+151.81256634974i</v>
      </c>
      <c r="BD359" s="32">
        <f t="shared" si="360"/>
        <v>151.81585984900988</v>
      </c>
      <c r="BE359" s="32">
        <f t="shared" si="361"/>
        <v>1.5642093520716771</v>
      </c>
      <c r="BF359" s="59" t="str">
        <f t="shared" si="362"/>
        <v>-0.0580909413490283+0.188027703074457i</v>
      </c>
      <c r="BG359" s="50">
        <f t="shared" si="363"/>
        <v>-14.119640014823327</v>
      </c>
      <c r="BH359" s="61">
        <f t="shared" si="364"/>
        <v>107.16847337613447</v>
      </c>
      <c r="BI359" s="59" t="str">
        <f t="shared" si="365"/>
        <v>0.0457442476851992-0.0246089295123979i</v>
      </c>
      <c r="BJ359" s="64">
        <f t="shared" si="366"/>
        <v>-25.68936226517506</v>
      </c>
      <c r="BK359" s="61">
        <f t="shared" si="367"/>
        <v>-28.278817984100193</v>
      </c>
      <c r="BL359" s="59" t="str">
        <f t="shared" si="318"/>
        <v>0.19229099677016+0.0108653120468761i</v>
      </c>
      <c r="BM359" s="64">
        <f t="shared" si="368"/>
        <v>-14.306977087020346</v>
      </c>
      <c r="BN359" s="61">
        <f t="shared" si="319"/>
        <v>3.2340320826572526</v>
      </c>
      <c r="BO359" s="50">
        <f t="shared" si="369"/>
        <v>-25.68936226517506</v>
      </c>
      <c r="BP359" s="61">
        <f t="shared" si="370"/>
        <v>-28.278817984100193</v>
      </c>
    </row>
    <row r="360" spans="14:68" x14ac:dyDescent="0.25">
      <c r="N360" s="11">
        <v>42</v>
      </c>
      <c r="O360" s="51">
        <f t="shared" si="320"/>
        <v>26302.679918953829</v>
      </c>
      <c r="P360" s="49" t="str">
        <f t="shared" si="321"/>
        <v>37.1583961085025</v>
      </c>
      <c r="Q360" s="18" t="str">
        <f t="shared" si="322"/>
        <v>1+129.536041970637i</v>
      </c>
      <c r="R360" s="18">
        <f t="shared" si="334"/>
        <v>129.53990184270882</v>
      </c>
      <c r="S360" s="18">
        <f t="shared" si="335"/>
        <v>1.5630766209887821</v>
      </c>
      <c r="T360" s="18" t="str">
        <f t="shared" si="323"/>
        <v>1+0.148738150805596i</v>
      </c>
      <c r="U360" s="18">
        <f t="shared" si="336"/>
        <v>1.0110010076676819</v>
      </c>
      <c r="V360" s="18">
        <f t="shared" si="337"/>
        <v>0.14765563740843546</v>
      </c>
      <c r="W360" s="32" t="str">
        <f t="shared" si="324"/>
        <v>1-1.30188919614273i</v>
      </c>
      <c r="X360" s="18">
        <f t="shared" si="338"/>
        <v>1.6416197729782509</v>
      </c>
      <c r="Y360" s="18">
        <f t="shared" si="339"/>
        <v>-0.91580236322278885</v>
      </c>
      <c r="Z360" s="32" t="str">
        <f t="shared" si="325"/>
        <v>0.982704225727027+0.313451880771793i</v>
      </c>
      <c r="AA360" s="18">
        <f t="shared" si="340"/>
        <v>1.0314842106504247</v>
      </c>
      <c r="AB360" s="18">
        <f t="shared" si="341"/>
        <v>0.30876715238710395</v>
      </c>
      <c r="AC360" s="32" t="str">
        <f>IMDIV(IMSUM(COMPLEX(0,2*PI()*O360*Constants!$B$61*Constants!$B$62),COMPLEX(1,0)),IMSUM(COMPLEX(0,2*PI()*O360*Constants!$B$61*Constants!$B$62),COMPLEX(2,0)))</f>
        <v>0.549244809772838+0.148987763245362i</v>
      </c>
      <c r="AD360" s="18">
        <f t="shared" si="342"/>
        <v>0.56909332684477776</v>
      </c>
      <c r="AE360" s="18">
        <f t="shared" si="343"/>
        <v>0.26488519786051168</v>
      </c>
      <c r="AF360" s="66" t="str">
        <f t="shared" si="344"/>
        <v>-0.189209501235031-0.182185287183593i</v>
      </c>
      <c r="AG360" s="64">
        <f t="shared" si="345"/>
        <v>-11.612030640883631</v>
      </c>
      <c r="AH360" s="61">
        <f t="shared" si="346"/>
        <v>-136.08350966534101</v>
      </c>
      <c r="AI360" s="50" t="str">
        <f t="shared" si="326"/>
        <v>107.538871525172</v>
      </c>
      <c r="AJ360" s="50" t="str">
        <f t="shared" si="327"/>
        <v>1+123.143598881257i</v>
      </c>
      <c r="AK360" s="50">
        <f t="shared" si="347"/>
        <v>123.14765911469014</v>
      </c>
      <c r="AL360" s="50">
        <f t="shared" si="348"/>
        <v>1.5626759045515246</v>
      </c>
      <c r="AM360" s="50" t="str">
        <f t="shared" si="328"/>
        <v>1+0.148738150805596i</v>
      </c>
      <c r="AN360" s="50">
        <f t="shared" si="349"/>
        <v>1.0110010076676819</v>
      </c>
      <c r="AO360" s="50">
        <f t="shared" si="350"/>
        <v>0.14765563740843546</v>
      </c>
      <c r="AP360" s="50" t="str">
        <f t="shared" si="329"/>
        <v>1-0.427647963802323i</v>
      </c>
      <c r="AQ360" s="50">
        <f t="shared" si="351"/>
        <v>1.0876041471713287</v>
      </c>
      <c r="AR360" s="50">
        <f t="shared" si="352"/>
        <v>-0.40411135698891842</v>
      </c>
      <c r="AS360" s="59" t="str">
        <f t="shared" si="353"/>
        <v>-0.236008227884059-0.930743999733932i</v>
      </c>
      <c r="AT360" s="50">
        <f t="shared" si="354"/>
        <v>-0.35276485252028045</v>
      </c>
      <c r="AU360" s="61">
        <f t="shared" si="355"/>
        <v>-104.22856444154289</v>
      </c>
      <c r="AV360" s="32" t="str">
        <f t="shared" si="330"/>
        <v>-0.0000333333333333333</v>
      </c>
      <c r="AW360" s="32" t="str">
        <f t="shared" si="331"/>
        <v>0.00793270137629848i</v>
      </c>
      <c r="AX360" s="32">
        <f t="shared" si="356"/>
        <v>7.9327013762984806E-3</v>
      </c>
      <c r="AY360" s="32">
        <f t="shared" si="357"/>
        <v>1.5707963267948966</v>
      </c>
      <c r="AZ360" s="32" t="str">
        <f t="shared" si="332"/>
        <v>1+3.23643198512177i</v>
      </c>
      <c r="BA360" s="32">
        <f t="shared" si="358"/>
        <v>3.3874019534621573</v>
      </c>
      <c r="BB360" s="32">
        <f t="shared" si="359"/>
        <v>1.2711194534852139</v>
      </c>
      <c r="BC360" s="32" t="str">
        <f t="shared" si="333"/>
        <v>1+155.348735285845i</v>
      </c>
      <c r="BD360" s="32">
        <f t="shared" si="360"/>
        <v>155.35195381749003</v>
      </c>
      <c r="BE360" s="32">
        <f t="shared" si="361"/>
        <v>1.5643592857318374</v>
      </c>
      <c r="BF360" s="59" t="str">
        <f t="shared" si="362"/>
        <v>-0.0557042735362213+0.1844851079789i</v>
      </c>
      <c r="BG360" s="50">
        <f t="shared" si="363"/>
        <v>-14.301847489446011</v>
      </c>
      <c r="BH360" s="61">
        <f t="shared" si="364"/>
        <v>106.8014047728558</v>
      </c>
      <c r="BI360" s="59" t="str">
        <f t="shared" si="365"/>
        <v>0.0441502501906802-0.0247578361944286i</v>
      </c>
      <c r="BJ360" s="64">
        <f t="shared" si="366"/>
        <v>-25.913878130329646</v>
      </c>
      <c r="BK360" s="61">
        <f t="shared" si="367"/>
        <v>-29.282104892485211</v>
      </c>
      <c r="BL360" s="59" t="str">
        <f t="shared" si="318"/>
        <v>0.18485507417448+0.00830641494827617i</v>
      </c>
      <c r="BM360" s="64">
        <f t="shared" si="368"/>
        <v>-14.654612341966299</v>
      </c>
      <c r="BN360" s="61">
        <f t="shared" si="319"/>
        <v>2.5728403313129289</v>
      </c>
      <c r="BO360" s="50">
        <f t="shared" si="369"/>
        <v>-25.913878130329646</v>
      </c>
      <c r="BP360" s="61">
        <f t="shared" si="370"/>
        <v>-29.282104892485211</v>
      </c>
    </row>
    <row r="361" spans="14:68" x14ac:dyDescent="0.25">
      <c r="N361" s="11">
        <v>43</v>
      </c>
      <c r="O361" s="51">
        <f t="shared" si="320"/>
        <v>26915.348039269167</v>
      </c>
      <c r="P361" s="49" t="str">
        <f t="shared" si="321"/>
        <v>37.1583961085025</v>
      </c>
      <c r="Q361" s="18" t="str">
        <f t="shared" si="322"/>
        <v>1+132.553323996339i</v>
      </c>
      <c r="R361" s="18">
        <f t="shared" si="334"/>
        <v>132.55709600952497</v>
      </c>
      <c r="S361" s="18">
        <f t="shared" si="335"/>
        <v>1.5632523362016648</v>
      </c>
      <c r="T361" s="18" t="str">
        <f t="shared" si="323"/>
        <v>1+0.152202707404165i</v>
      </c>
      <c r="U361" s="18">
        <f t="shared" si="336"/>
        <v>1.0115165169888023</v>
      </c>
      <c r="V361" s="18">
        <f t="shared" si="337"/>
        <v>0.15104348546466909</v>
      </c>
      <c r="W361" s="32" t="str">
        <f t="shared" si="324"/>
        <v>1-1.33221409113888i</v>
      </c>
      <c r="X361" s="18">
        <f t="shared" si="338"/>
        <v>1.6657714082757551</v>
      </c>
      <c r="Y361" s="18">
        <f t="shared" si="339"/>
        <v>-0.92689207424999898</v>
      </c>
      <c r="Z361" s="32" t="str">
        <f t="shared" si="325"/>
        <v>0.981889100998125+0.320753113010999i</v>
      </c>
      <c r="AA361" s="18">
        <f t="shared" si="340"/>
        <v>1.0329514829676913</v>
      </c>
      <c r="AB361" s="18">
        <f t="shared" si="341"/>
        <v>0.31574106291618864</v>
      </c>
      <c r="AC361" s="32" t="str">
        <f>IMDIV(IMSUM(COMPLEX(0,2*PI()*O361*Constants!$B$61*Constants!$B$62),COMPLEX(1,0)),IMSUM(COMPLEX(0,2*PI()*O361*Constants!$B$61*Constants!$B$62),COMPLEX(2,0)))</f>
        <v>0.551327401156313+0.151753742849049i</v>
      </c>
      <c r="AD361" s="18">
        <f t="shared" si="342"/>
        <v>0.57183135777471084</v>
      </c>
      <c r="AE361" s="18">
        <f t="shared" si="343"/>
        <v>0.26860009550995018</v>
      </c>
      <c r="AF361" s="66" t="str">
        <f t="shared" si="344"/>
        <v>-0.190362040771822-0.179252733457291i</v>
      </c>
      <c r="AG361" s="64">
        <f t="shared" si="345"/>
        <v>-11.651391904497594</v>
      </c>
      <c r="AH361" s="61">
        <f t="shared" si="346"/>
        <v>-136.72158933144289</v>
      </c>
      <c r="AI361" s="50" t="str">
        <f t="shared" si="326"/>
        <v>107.538871525172</v>
      </c>
      <c r="AJ361" s="50" t="str">
        <f t="shared" si="327"/>
        <v>1+126.011981779423i</v>
      </c>
      <c r="AK361" s="50">
        <f t="shared" si="347"/>
        <v>126.01594959360358</v>
      </c>
      <c r="AL361" s="50">
        <f t="shared" si="348"/>
        <v>1.5628607400783616</v>
      </c>
      <c r="AM361" s="50" t="str">
        <f t="shared" si="328"/>
        <v>1+0.152202707404165i</v>
      </c>
      <c r="AN361" s="50">
        <f t="shared" si="349"/>
        <v>1.0115165169888023</v>
      </c>
      <c r="AO361" s="50">
        <f t="shared" si="350"/>
        <v>0.15104348546466909</v>
      </c>
      <c r="AP361" s="50" t="str">
        <f t="shared" si="329"/>
        <v>1-0.437609164522052i</v>
      </c>
      <c r="AQ361" s="50">
        <f t="shared" si="351"/>
        <v>1.0915593345639476</v>
      </c>
      <c r="AR361" s="50">
        <f t="shared" si="352"/>
        <v>-0.41250206453950516</v>
      </c>
      <c r="AS361" s="59" t="str">
        <f t="shared" si="353"/>
        <v>-0.236328080991449-0.912118488594512i</v>
      </c>
      <c r="AT361" s="50">
        <f t="shared" si="354"/>
        <v>-0.51679429880370598</v>
      </c>
      <c r="AU361" s="61">
        <f t="shared" si="355"/>
        <v>-104.52579747165802</v>
      </c>
      <c r="AV361" s="32" t="str">
        <f t="shared" si="330"/>
        <v>-0.0000333333333333333</v>
      </c>
      <c r="AW361" s="32" t="str">
        <f t="shared" si="331"/>
        <v>0.00811747772822212i</v>
      </c>
      <c r="AX361" s="32">
        <f t="shared" si="356"/>
        <v>8.1174777282221194E-3</v>
      </c>
      <c r="AY361" s="32">
        <f t="shared" si="357"/>
        <v>1.5707963267948966</v>
      </c>
      <c r="AZ361" s="32" t="str">
        <f t="shared" si="332"/>
        <v>1+3.31181817036841i</v>
      </c>
      <c r="BA361" s="32">
        <f t="shared" si="358"/>
        <v>3.4594999051282485</v>
      </c>
      <c r="BB361" s="32">
        <f t="shared" si="359"/>
        <v>1.2775524705896788</v>
      </c>
      <c r="BC361" s="32" t="str">
        <f t="shared" si="333"/>
        <v>1+158.967272177684i</v>
      </c>
      <c r="BD361" s="32">
        <f t="shared" si="360"/>
        <v>158.97041744807072</v>
      </c>
      <c r="BE361" s="32">
        <f t="shared" si="361"/>
        <v>1.564505806764878</v>
      </c>
      <c r="BF361" s="59" t="str">
        <f t="shared" si="362"/>
        <v>-0.0534066498592219+0.180979479272524i</v>
      </c>
      <c r="BG361" s="50">
        <f t="shared" si="363"/>
        <v>-14.484787376254225</v>
      </c>
      <c r="BH361" s="61">
        <f t="shared" si="364"/>
        <v>106.44121508003764</v>
      </c>
      <c r="BI361" s="59" t="str">
        <f t="shared" si="365"/>
        <v>0.0426076652172647-0.0248783350400774i</v>
      </c>
      <c r="BJ361" s="64">
        <f t="shared" si="366"/>
        <v>-26.136179280751819</v>
      </c>
      <c r="BK361" s="61">
        <f t="shared" si="367"/>
        <v>-30.280374251405281</v>
      </c>
      <c r="BL361" s="59" t="str">
        <f t="shared" si="318"/>
        <v>0.177696220174089+0.00594265971518246i</v>
      </c>
      <c r="BM361" s="64">
        <f t="shared" si="368"/>
        <v>-15.00158167505791</v>
      </c>
      <c r="BN361" s="61">
        <f t="shared" si="319"/>
        <v>1.915417608379594</v>
      </c>
      <c r="BO361" s="50">
        <f t="shared" si="369"/>
        <v>-26.136179280751819</v>
      </c>
      <c r="BP361" s="61">
        <f t="shared" si="370"/>
        <v>-30.280374251405281</v>
      </c>
    </row>
    <row r="362" spans="14:68" x14ac:dyDescent="0.25">
      <c r="N362" s="11">
        <v>44</v>
      </c>
      <c r="O362" s="51">
        <f t="shared" si="320"/>
        <v>27542.287033381719</v>
      </c>
      <c r="P362" s="49" t="str">
        <f t="shared" si="321"/>
        <v>37.1583961085025</v>
      </c>
      <c r="Q362" s="18" t="str">
        <f t="shared" si="322"/>
        <v>1+135.640887548974i</v>
      </c>
      <c r="R362" s="18">
        <f t="shared" si="334"/>
        <v>135.64457370301776</v>
      </c>
      <c r="S362" s="18">
        <f t="shared" si="335"/>
        <v>1.5634240520981397</v>
      </c>
      <c r="T362" s="18" t="str">
        <f t="shared" si="323"/>
        <v>1+0.15574796389284i</v>
      </c>
      <c r="U362" s="18">
        <f t="shared" si="336"/>
        <v>1.0120560400772109</v>
      </c>
      <c r="V362" s="18">
        <f t="shared" si="337"/>
        <v>0.1545066329621175</v>
      </c>
      <c r="W362" s="32" t="str">
        <f t="shared" si="324"/>
        <v>1-1.36324534368009i</v>
      </c>
      <c r="X362" s="18">
        <f t="shared" si="338"/>
        <v>1.6906915351611147</v>
      </c>
      <c r="Y362" s="18">
        <f t="shared" si="339"/>
        <v>-0.93791072231714367</v>
      </c>
      <c r="Z362" s="32" t="str">
        <f t="shared" si="325"/>
        <v>0.98103556062427+0.328224412796393i</v>
      </c>
      <c r="AA362" s="18">
        <f t="shared" si="340"/>
        <v>1.0344863635471047</v>
      </c>
      <c r="AB362" s="18">
        <f t="shared" si="341"/>
        <v>0.3228625409734488</v>
      </c>
      <c r="AC362" s="32" t="str">
        <f>IMDIV(IMSUM(COMPLEX(0,2*PI()*O362*Constants!$B$61*Constants!$B$62),COMPLEX(1,0)),IMSUM(COMPLEX(0,2*PI()*O362*Constants!$B$61*Constants!$B$62),COMPLEX(2,0)))</f>
        <v>0.553487615473611+0.154540877206493i</v>
      </c>
      <c r="AD362" s="18">
        <f t="shared" si="342"/>
        <v>0.57465765740170582</v>
      </c>
      <c r="AE362" s="18">
        <f t="shared" si="343"/>
        <v>0.27227866800701367</v>
      </c>
      <c r="AF362" s="66" t="str">
        <f t="shared" si="344"/>
        <v>-0.191546889092614-0.176373526865186i</v>
      </c>
      <c r="AG362" s="64">
        <f t="shared" si="345"/>
        <v>-11.687841954517697</v>
      </c>
      <c r="AH362" s="61">
        <f t="shared" si="346"/>
        <v>-137.36159018019998</v>
      </c>
      <c r="AI362" s="50" t="str">
        <f t="shared" si="326"/>
        <v>107.538871525172</v>
      </c>
      <c r="AJ362" s="50" t="str">
        <f t="shared" si="327"/>
        <v>1+128.947177898294i</v>
      </c>
      <c r="AK362" s="50">
        <f t="shared" si="347"/>
        <v>128.95105539674455</v>
      </c>
      <c r="AL362" s="50">
        <f t="shared" si="348"/>
        <v>1.5630413687588991</v>
      </c>
      <c r="AM362" s="50" t="str">
        <f t="shared" si="328"/>
        <v>1+0.15574796389284i</v>
      </c>
      <c r="AN362" s="50">
        <f t="shared" si="349"/>
        <v>1.0120560400772109</v>
      </c>
      <c r="AO362" s="50">
        <f t="shared" si="350"/>
        <v>0.1545066329621175</v>
      </c>
      <c r="AP362" s="50" t="str">
        <f t="shared" si="329"/>
        <v>1-0.447802391413252i</v>
      </c>
      <c r="AQ362" s="50">
        <f t="shared" si="351"/>
        <v>1.0956856217708744</v>
      </c>
      <c r="AR362" s="50">
        <f t="shared" si="352"/>
        <v>-0.42102489086244593</v>
      </c>
      <c r="AS362" s="59" t="str">
        <f t="shared" si="353"/>
        <v>-0.236633540109892-0.893976366221808i</v>
      </c>
      <c r="AT362" s="50">
        <f t="shared" si="354"/>
        <v>-0.67937804732592277</v>
      </c>
      <c r="AU362" s="61">
        <f t="shared" si="355"/>
        <v>-104.8260449751042</v>
      </c>
      <c r="AV362" s="32" t="str">
        <f t="shared" si="330"/>
        <v>-0.0000333333333333333</v>
      </c>
      <c r="AW362" s="32" t="str">
        <f t="shared" si="331"/>
        <v>0.00830655807428481i</v>
      </c>
      <c r="AX362" s="32">
        <f t="shared" si="356"/>
        <v>8.3065580742848096E-3</v>
      </c>
      <c r="AY362" s="32">
        <f t="shared" si="357"/>
        <v>1.5707963267948966</v>
      </c>
      <c r="AZ362" s="32" t="str">
        <f t="shared" si="332"/>
        <v>1+3.38896032544607i</v>
      </c>
      <c r="BA362" s="32">
        <f t="shared" si="358"/>
        <v>3.5334193195044841</v>
      </c>
      <c r="BB362" s="32">
        <f t="shared" si="359"/>
        <v>1.2838632957419311</v>
      </c>
      <c r="BC362" s="32" t="str">
        <f t="shared" si="333"/>
        <v>1+162.670095621411i</v>
      </c>
      <c r="BD362" s="32">
        <f t="shared" si="360"/>
        <v>162.6731692980714</v>
      </c>
      <c r="BE362" s="32">
        <f t="shared" si="361"/>
        <v>1.5646489928330112</v>
      </c>
      <c r="BF362" s="59" t="str">
        <f t="shared" si="362"/>
        <v>-0.0511954805045123+0.177512345823666i</v>
      </c>
      <c r="BG362" s="50">
        <f t="shared" si="363"/>
        <v>-14.668432235842291</v>
      </c>
      <c r="BH362" s="61">
        <f t="shared" si="364"/>
        <v>106.08783539095762</v>
      </c>
      <c r="BI362" s="59" t="str">
        <f t="shared" si="365"/>
        <v>0.0411148135212734-0.0249724101619168i</v>
      </c>
      <c r="BJ362" s="64">
        <f t="shared" si="366"/>
        <v>-26.35627419035999</v>
      </c>
      <c r="BK362" s="61">
        <f t="shared" si="367"/>
        <v>-31.273754789242403</v>
      </c>
      <c r="BL362" s="59" t="str">
        <f t="shared" si="318"/>
        <v>0.17080640966836+0.00376217482293783i</v>
      </c>
      <c r="BM362" s="64">
        <f t="shared" si="368"/>
        <v>-15.347810283168188</v>
      </c>
      <c r="BN362" s="61">
        <f t="shared" si="319"/>
        <v>1.2617904158534039</v>
      </c>
      <c r="BO362" s="50">
        <f t="shared" si="369"/>
        <v>-26.35627419035999</v>
      </c>
      <c r="BP362" s="61">
        <f t="shared" si="370"/>
        <v>-31.273754789242403</v>
      </c>
    </row>
    <row r="363" spans="14:68" x14ac:dyDescent="0.25">
      <c r="N363" s="11">
        <v>45</v>
      </c>
      <c r="O363" s="51">
        <f t="shared" si="320"/>
        <v>28183.829312644593</v>
      </c>
      <c r="P363" s="49" t="str">
        <f t="shared" si="321"/>
        <v>37.1583961085025</v>
      </c>
      <c r="Q363" s="18" t="str">
        <f t="shared" si="322"/>
        <v>1+138.800369695607i</v>
      </c>
      <c r="R363" s="18">
        <f t="shared" si="334"/>
        <v>138.80397194474364</v>
      </c>
      <c r="S363" s="18">
        <f t="shared" si="335"/>
        <v>1.5635918596837186</v>
      </c>
      <c r="T363" s="18" t="str">
        <f t="shared" si="323"/>
        <v>1+0.15937580001354i</v>
      </c>
      <c r="U363" s="18">
        <f t="shared" si="336"/>
        <v>1.0126206820078067</v>
      </c>
      <c r="V363" s="18">
        <f t="shared" si="337"/>
        <v>0.15804658365742888</v>
      </c>
      <c r="W363" s="32" t="str">
        <f t="shared" si="324"/>
        <v>1-1.39499940694721i</v>
      </c>
      <c r="X363" s="18">
        <f t="shared" si="338"/>
        <v>1.71639836441983</v>
      </c>
      <c r="Y363" s="18">
        <f t="shared" si="339"/>
        <v>-0.94885344776131242</v>
      </c>
      <c r="Z363" s="32" t="str">
        <f t="shared" si="325"/>
        <v>0.980141794131893+0.335869741510014i</v>
      </c>
      <c r="AA363" s="18">
        <f t="shared" si="340"/>
        <v>1.0360918974039366</v>
      </c>
      <c r="AB363" s="18">
        <f t="shared" si="341"/>
        <v>0.33013404424095283</v>
      </c>
      <c r="AC363" s="32" t="str">
        <f>IMDIV(IMSUM(COMPLEX(0,2*PI()*O363*Constants!$B$61*Constants!$B$62),COMPLEX(1,0)),IMSUM(COMPLEX(0,2*PI()*O363*Constants!$B$61*Constants!$B$62),COMPLEX(2,0)))</f>
        <v>0.555727454303045+0.157347316432231i</v>
      </c>
      <c r="AD363" s="18">
        <f t="shared" si="342"/>
        <v>0.57757352904592807</v>
      </c>
      <c r="AE363" s="18">
        <f t="shared" si="343"/>
        <v>0.27591578675698586</v>
      </c>
      <c r="AF363" s="66" t="str">
        <f t="shared" si="344"/>
        <v>-0.19276442882996-0.173544017683955i</v>
      </c>
      <c r="AG363" s="64">
        <f t="shared" si="345"/>
        <v>-11.721420904271655</v>
      </c>
      <c r="AH363" s="61">
        <f t="shared" si="346"/>
        <v>-138.00358749040183</v>
      </c>
      <c r="AI363" s="50" t="str">
        <f t="shared" si="326"/>
        <v>107.538871525172</v>
      </c>
      <c r="AJ363" s="50" t="str">
        <f t="shared" si="327"/>
        <v>1+131.950743517704i</v>
      </c>
      <c r="AK363" s="50">
        <f t="shared" si="347"/>
        <v>131.95453275607818</v>
      </c>
      <c r="AL363" s="50">
        <f t="shared" si="348"/>
        <v>1.5632178863176804</v>
      </c>
      <c r="AM363" s="50" t="str">
        <f t="shared" si="328"/>
        <v>1+0.15937580001354i</v>
      </c>
      <c r="AN363" s="50">
        <f t="shared" si="349"/>
        <v>1.0126206820078067</v>
      </c>
      <c r="AO363" s="50">
        <f t="shared" si="350"/>
        <v>0.15804658365742888</v>
      </c>
      <c r="AP363" s="50" t="str">
        <f t="shared" si="329"/>
        <v>1-0.458233049059744i</v>
      </c>
      <c r="AQ363" s="50">
        <f t="shared" si="351"/>
        <v>1.0999897850664748</v>
      </c>
      <c r="AR363" s="50">
        <f t="shared" si="352"/>
        <v>-0.42967940114022785</v>
      </c>
      <c r="AS363" s="59" t="str">
        <f t="shared" si="353"/>
        <v>-0.236925252919682-0.876308028673931i</v>
      </c>
      <c r="AT363" s="50">
        <f t="shared" si="354"/>
        <v>-0.84046785915597355</v>
      </c>
      <c r="AU363" s="61">
        <f t="shared" si="355"/>
        <v>-105.12920136437621</v>
      </c>
      <c r="AV363" s="32" t="str">
        <f t="shared" si="330"/>
        <v>-0.0000333333333333333</v>
      </c>
      <c r="AW363" s="32" t="str">
        <f t="shared" si="331"/>
        <v>0.00850004266738876i</v>
      </c>
      <c r="AX363" s="32">
        <f t="shared" si="356"/>
        <v>8.5000426673887599E-3</v>
      </c>
      <c r="AY363" s="32">
        <f t="shared" si="357"/>
        <v>1.5707963267948966</v>
      </c>
      <c r="AZ363" s="32" t="str">
        <f t="shared" si="332"/>
        <v>1+3.46789935214646i</v>
      </c>
      <c r="BA363" s="32">
        <f t="shared" si="358"/>
        <v>3.6092001768560635</v>
      </c>
      <c r="BB363" s="32">
        <f t="shared" si="359"/>
        <v>1.2900532635651929</v>
      </c>
      <c r="BC363" s="32" t="str">
        <f t="shared" si="333"/>
        <v>1+166.45916890303i</v>
      </c>
      <c r="BD363" s="32">
        <f t="shared" si="360"/>
        <v>166.46217261554492</v>
      </c>
      <c r="BE363" s="32">
        <f t="shared" si="361"/>
        <v>1.5647889198318867</v>
      </c>
      <c r="BF363" s="59" t="str">
        <f t="shared" si="362"/>
        <v>-0.0490681904346746+0.174085094761887i</v>
      </c>
      <c r="BG363" s="50">
        <f t="shared" si="363"/>
        <v>-14.852755436233858</v>
      </c>
      <c r="BH363" s="61">
        <f t="shared" si="364"/>
        <v>105.74119358583846</v>
      </c>
      <c r="BI363" s="59" t="str">
        <f t="shared" si="365"/>
        <v>0.0396700284667297-0.0250419229510698i</v>
      </c>
      <c r="BJ363" s="64">
        <f t="shared" si="366"/>
        <v>-26.574176340505499</v>
      </c>
      <c r="BK363" s="61">
        <f t="shared" si="367"/>
        <v>-32.262393904563346</v>
      </c>
      <c r="BL363" s="59" t="str">
        <f t="shared" si="318"/>
        <v>0.16417765964135+0.00175369412439985i</v>
      </c>
      <c r="BM363" s="64">
        <f t="shared" si="368"/>
        <v>-15.693223295389835</v>
      </c>
      <c r="BN363" s="61">
        <f t="shared" si="319"/>
        <v>0.61199222146224874</v>
      </c>
      <c r="BO363" s="50">
        <f t="shared" si="369"/>
        <v>-26.574176340505499</v>
      </c>
      <c r="BP363" s="61">
        <f t="shared" si="370"/>
        <v>-32.262393904563346</v>
      </c>
    </row>
    <row r="364" spans="14:68" x14ac:dyDescent="0.25">
      <c r="N364" s="11">
        <v>46</v>
      </c>
      <c r="O364" s="51">
        <f t="shared" si="320"/>
        <v>28840.315031266062</v>
      </c>
      <c r="P364" s="49" t="str">
        <f t="shared" si="321"/>
        <v>37.1583961085025</v>
      </c>
      <c r="Q364" s="18" t="str">
        <f t="shared" si="322"/>
        <v>1+142.033445635492i</v>
      </c>
      <c r="R364" s="18">
        <f t="shared" si="334"/>
        <v>142.03696588948338</v>
      </c>
      <c r="S364" s="18">
        <f t="shared" si="335"/>
        <v>1.56375584789438</v>
      </c>
      <c r="T364" s="18" t="str">
        <f t="shared" si="323"/>
        <v>1+0.163088139292993i</v>
      </c>
      <c r="U364" s="18">
        <f t="shared" si="336"/>
        <v>1.0132115974356248</v>
      </c>
      <c r="V364" s="18">
        <f t="shared" si="337"/>
        <v>0.16166485941760753</v>
      </c>
      <c r="W364" s="32" t="str">
        <f t="shared" si="324"/>
        <v>1-1.42749311736488i</v>
      </c>
      <c r="X364" s="18">
        <f t="shared" si="338"/>
        <v>1.7429103821264313</v>
      </c>
      <c r="Y364" s="18">
        <f t="shared" si="339"/>
        <v>-0.95971557027651422</v>
      </c>
      <c r="Z364" s="32" t="str">
        <f t="shared" si="325"/>
        <v>0.979205905722433+0.343693152806344i</v>
      </c>
      <c r="AA364" s="18">
        <f t="shared" si="340"/>
        <v>1.0377712604845324</v>
      </c>
      <c r="AB364" s="18">
        <f t="shared" si="341"/>
        <v>0.33755802708811322</v>
      </c>
      <c r="AC364" s="32" t="str">
        <f>IMDIV(IMSUM(COMPLEX(0,2*PI()*O364*Constants!$B$61*Constants!$B$62),COMPLEX(1,0)),IMSUM(COMPLEX(0,2*PI()*O364*Constants!$B$61*Constants!$B$62),COMPLEX(2,0)))</f>
        <v>0.558048894417906+0.160171074373033i</v>
      </c>
      <c r="AD364" s="18">
        <f t="shared" si="342"/>
        <v>0.58058017674293605</v>
      </c>
      <c r="AE364" s="18">
        <f t="shared" si="343"/>
        <v>0.27950621450025559</v>
      </c>
      <c r="AF364" s="66" t="str">
        <f t="shared" si="344"/>
        <v>-0.194014961757902-0.170760513318538i</v>
      </c>
      <c r="AG364" s="64">
        <f t="shared" si="345"/>
        <v>-11.752173072979808</v>
      </c>
      <c r="AH364" s="61">
        <f t="shared" si="346"/>
        <v>-138.6476716972488</v>
      </c>
      <c r="AI364" s="50" t="str">
        <f t="shared" si="326"/>
        <v>107.538871525172</v>
      </c>
      <c r="AJ364" s="50" t="str">
        <f t="shared" si="327"/>
        <v>1+135.0242711679i</v>
      </c>
      <c r="AK364" s="50">
        <f t="shared" si="347"/>
        <v>135.02797415507123</v>
      </c>
      <c r="AL364" s="50">
        <f t="shared" si="348"/>
        <v>1.5633903863026264</v>
      </c>
      <c r="AM364" s="50" t="str">
        <f t="shared" si="328"/>
        <v>1+0.163088139292993i</v>
      </c>
      <c r="AN364" s="50">
        <f t="shared" si="349"/>
        <v>1.0132115974356248</v>
      </c>
      <c r="AO364" s="50">
        <f t="shared" si="350"/>
        <v>0.16166485941760753</v>
      </c>
      <c r="AP364" s="50" t="str">
        <f t="shared" si="329"/>
        <v>1-0.468906667934277i</v>
      </c>
      <c r="AQ364" s="50">
        <f t="shared" si="351"/>
        <v>1.1044788197304765</v>
      </c>
      <c r="AR364" s="50">
        <f t="shared" si="352"/>
        <v>-0.43846499725207094</v>
      </c>
      <c r="AS364" s="59" t="str">
        <f t="shared" si="353"/>
        <v>-0.237203837964416-0.859104122198222i</v>
      </c>
      <c r="AT364" s="50">
        <f t="shared" si="354"/>
        <v>-1.0000146593413688</v>
      </c>
      <c r="AU364" s="61">
        <f t="shared" si="355"/>
        <v>-105.43515053302201</v>
      </c>
      <c r="AV364" s="32" t="str">
        <f t="shared" si="330"/>
        <v>-0.0000333333333333333</v>
      </c>
      <c r="AW364" s="32" t="str">
        <f t="shared" si="331"/>
        <v>0.00869803409562631i</v>
      </c>
      <c r="AX364" s="32">
        <f t="shared" si="356"/>
        <v>8.6980340956263093E-3</v>
      </c>
      <c r="AY364" s="32">
        <f t="shared" si="357"/>
        <v>1.5707963267948966</v>
      </c>
      <c r="AZ364" s="32" t="str">
        <f t="shared" si="332"/>
        <v>1+3.54867710498642i</v>
      </c>
      <c r="BA364" s="32">
        <f t="shared" si="358"/>
        <v>3.6868833986789982</v>
      </c>
      <c r="BB364" s="32">
        <f t="shared" si="359"/>
        <v>1.2961237579523652</v>
      </c>
      <c r="BC364" s="32" t="str">
        <f t="shared" si="333"/>
        <v>1+170.336501039349i</v>
      </c>
      <c r="BD364" s="32">
        <f t="shared" si="360"/>
        <v>170.33943638021157</v>
      </c>
      <c r="BE364" s="32">
        <f t="shared" si="361"/>
        <v>1.5649256619307212</v>
      </c>
      <c r="BF364" s="59" t="str">
        <f t="shared" si="362"/>
        <v>-0.0470222251252473+0.170698977317873i</v>
      </c>
      <c r="BG364" s="50">
        <f t="shared" si="363"/>
        <v>-15.03773114738118</v>
      </c>
      <c r="BH364" s="61">
        <f t="shared" si="364"/>
        <v>105.40121462304066</v>
      </c>
      <c r="BI364" s="59" t="str">
        <f t="shared" si="365"/>
        <v>0.0382716601991958-0.025088616256673i</v>
      </c>
      <c r="BJ364" s="64">
        <f t="shared" si="366"/>
        <v>-26.789904220360988</v>
      </c>
      <c r="BK364" s="61">
        <f t="shared" si="367"/>
        <v>-33.246457074208074</v>
      </c>
      <c r="BL364" s="59" t="str">
        <f t="shared" si="318"/>
        <v>0.157802047338141-0.0000934651163675068i</v>
      </c>
      <c r="BM364" s="64">
        <f t="shared" si="368"/>
        <v>-16.037745806722544</v>
      </c>
      <c r="BN364" s="61">
        <f t="shared" si="319"/>
        <v>-3.3935909981353984E-2</v>
      </c>
      <c r="BO364" s="50">
        <f t="shared" si="369"/>
        <v>-26.789904220360988</v>
      </c>
      <c r="BP364" s="61">
        <f t="shared" si="370"/>
        <v>-33.246457074208074</v>
      </c>
    </row>
    <row r="365" spans="14:68" x14ac:dyDescent="0.25">
      <c r="N365" s="11">
        <v>47</v>
      </c>
      <c r="O365" s="51">
        <f t="shared" si="320"/>
        <v>29512.092266663854</v>
      </c>
      <c r="P365" s="49" t="str">
        <f t="shared" si="321"/>
        <v>37.1583961085025</v>
      </c>
      <c r="Q365" s="18" t="str">
        <f t="shared" si="322"/>
        <v>1+145.341829588289i</v>
      </c>
      <c r="R365" s="18">
        <f t="shared" si="334"/>
        <v>145.34526971343524</v>
      </c>
      <c r="S365" s="18">
        <f t="shared" si="335"/>
        <v>1.5639161036435438</v>
      </c>
      <c r="T365" s="18" t="str">
        <f t="shared" si="323"/>
        <v>1+0.166886950062628i</v>
      </c>
      <c r="U365" s="18">
        <f t="shared" si="336"/>
        <v>1.0138299927015408</v>
      </c>
      <c r="V365" s="18">
        <f t="shared" si="337"/>
        <v>0.16536299954607397</v>
      </c>
      <c r="W365" s="32" t="str">
        <f t="shared" si="324"/>
        <v>1-1.46074370352849i</v>
      </c>
      <c r="X365" s="18">
        <f t="shared" si="338"/>
        <v>1.7702463578265397</v>
      </c>
      <c r="Y365" s="18">
        <f t="shared" si="339"/>
        <v>-0.97049259666207233</v>
      </c>
      <c r="Z365" s="32" t="str">
        <f t="shared" si="325"/>
        <v>0.978225910251098+0.351698794761612i</v>
      </c>
      <c r="AA365" s="18">
        <f t="shared" si="340"/>
        <v>1.0395277647679062</v>
      </c>
      <c r="AB365" s="18">
        <f t="shared" si="341"/>
        <v>0.34513693719600491</v>
      </c>
      <c r="AC365" s="32" t="str">
        <f>IMDIV(IMSUM(COMPLEX(0,2*PI()*O365*Constants!$B$61*Constants!$B$62),COMPLEX(1,0)),IMSUM(COMPLEX(0,2*PI()*O365*Constants!$B$61*Constants!$B$62),COMPLEX(2,0)))</f>
        <v>0.560453879901538+0.16301002532243i</v>
      </c>
      <c r="AD365" s="18">
        <f t="shared" si="342"/>
        <v>0.58367869573276943</v>
      </c>
      <c r="AE365" s="18">
        <f t="shared" si="343"/>
        <v>0.28304461790934338</v>
      </c>
      <c r="AF365" s="66" t="str">
        <f t="shared" si="344"/>
        <v>-0.195298701404415-0.168019278476083i</v>
      </c>
      <c r="AG365" s="64">
        <f t="shared" si="345"/>
        <v>-11.780146982381156</v>
      </c>
      <c r="AH365" s="61">
        <f t="shared" si="346"/>
        <v>-139.29394796243881</v>
      </c>
      <c r="AI365" s="50" t="str">
        <f t="shared" si="326"/>
        <v>107.538871525172</v>
      </c>
      <c r="AJ365" s="50" t="str">
        <f t="shared" si="327"/>
        <v>1+138.169390473929i</v>
      </c>
      <c r="AK365" s="50">
        <f t="shared" si="347"/>
        <v>138.17300917305474</v>
      </c>
      <c r="AL365" s="50">
        <f t="shared" si="348"/>
        <v>1.5635589601344255</v>
      </c>
      <c r="AM365" s="50" t="str">
        <f t="shared" si="328"/>
        <v>1+0.166886950062628i</v>
      </c>
      <c r="AN365" s="50">
        <f t="shared" si="349"/>
        <v>1.0138299927015408</v>
      </c>
      <c r="AO365" s="50">
        <f t="shared" si="350"/>
        <v>0.16536299954607397</v>
      </c>
      <c r="AP365" s="50" t="str">
        <f t="shared" si="329"/>
        <v>1-0.479828907330866i</v>
      </c>
      <c r="AQ365" s="50">
        <f t="shared" si="351"/>
        <v>1.1091599435204702</v>
      </c>
      <c r="AR365" s="50">
        <f t="shared" si="352"/>
        <v>-0.44738091136606711</v>
      </c>
      <c r="AS365" s="59" t="str">
        <f t="shared" si="353"/>
        <v>-0.237469885961148-0.842355538339588i</v>
      </c>
      <c r="AT365" s="50">
        <f t="shared" si="354"/>
        <v>-1.157968580642881</v>
      </c>
      <c r="AU365" s="61">
        <f t="shared" si="355"/>
        <v>-105.74376552994453</v>
      </c>
      <c r="AV365" s="32" t="str">
        <f t="shared" si="330"/>
        <v>-0.0000333333333333333</v>
      </c>
      <c r="AW365" s="32" t="str">
        <f t="shared" si="331"/>
        <v>0.00890063733667347i</v>
      </c>
      <c r="AX365" s="32">
        <f t="shared" si="356"/>
        <v>8.9006373366734698E-3</v>
      </c>
      <c r="AY365" s="32">
        <f t="shared" si="357"/>
        <v>1.5707963267948966</v>
      </c>
      <c r="AZ365" s="32" t="str">
        <f t="shared" si="332"/>
        <v>1+3.63133641339978i</v>
      </c>
      <c r="BA365" s="32">
        <f t="shared" si="358"/>
        <v>3.7665108717861382</v>
      </c>
      <c r="BB365" s="32">
        <f t="shared" si="359"/>
        <v>1.3020762072362175</v>
      </c>
      <c r="BC365" s="32" t="str">
        <f t="shared" si="333"/>
        <v>1+174.30414784319i</v>
      </c>
      <c r="BD365" s="32">
        <f t="shared" si="360"/>
        <v>174.3070163686495</v>
      </c>
      <c r="BE365" s="32">
        <f t="shared" si="361"/>
        <v>1.5650592916115191</v>
      </c>
      <c r="BF365" s="59" t="str">
        <f t="shared" si="362"/>
        <v>-0.0450550557487116+0.167355114713842i</v>
      </c>
      <c r="BG365" s="50">
        <f t="shared" si="363"/>
        <v>-15.223334333954764</v>
      </c>
      <c r="BH365" s="61">
        <f t="shared" si="364"/>
        <v>105.0678208180376</v>
      </c>
      <c r="BI365" s="59" t="str">
        <f t="shared" si="365"/>
        <v>0.0369180795029287-0.025114118618402i</v>
      </c>
      <c r="BJ365" s="64">
        <f t="shared" si="366"/>
        <v>-27.003481316335929</v>
      </c>
      <c r="BK365" s="61">
        <f t="shared" si="367"/>
        <v>-34.226127144401197</v>
      </c>
      <c r="BL365" s="59" t="str">
        <f t="shared" si="318"/>
        <v>0.151671726699282-0.00178942426598479i</v>
      </c>
      <c r="BM365" s="64">
        <f t="shared" si="368"/>
        <v>-16.381302914597619</v>
      </c>
      <c r="BN365" s="61">
        <f t="shared" si="319"/>
        <v>-0.67594471190691996</v>
      </c>
      <c r="BO365" s="50">
        <f t="shared" si="369"/>
        <v>-27.003481316335929</v>
      </c>
      <c r="BP365" s="61">
        <f t="shared" si="370"/>
        <v>-34.226127144401197</v>
      </c>
    </row>
    <row r="366" spans="14:68" x14ac:dyDescent="0.25">
      <c r="N366" s="11">
        <v>48</v>
      </c>
      <c r="O366" s="51">
        <f t="shared" si="320"/>
        <v>30199.517204020212</v>
      </c>
      <c r="P366" s="49" t="str">
        <f t="shared" si="321"/>
        <v>37.1583961085025</v>
      </c>
      <c r="Q366" s="18" t="str">
        <f t="shared" si="322"/>
        <v>1+148.72727570296i</v>
      </c>
      <c r="R366" s="18">
        <f t="shared" si="334"/>
        <v>148.73063752308826</v>
      </c>
      <c r="S366" s="18">
        <f t="shared" si="335"/>
        <v>1.5640727118679847</v>
      </c>
      <c r="T366" s="18" t="str">
        <f t="shared" si="323"/>
        <v>1+0.170774246502195i</v>
      </c>
      <c r="U366" s="18">
        <f t="shared" si="336"/>
        <v>1.0144771280163947</v>
      </c>
      <c r="V366" s="18">
        <f t="shared" si="337"/>
        <v>0.1691425600276848</v>
      </c>
      <c r="W366" s="32" t="str">
        <f t="shared" si="324"/>
        <v>1-1.49476879533894i</v>
      </c>
      <c r="X366" s="18">
        <f t="shared" si="338"/>
        <v>1.7984253533352519</v>
      </c>
      <c r="Y366" s="18">
        <f t="shared" si="339"/>
        <v>-0.98118022758254797</v>
      </c>
      <c r="Z366" s="32" t="str">
        <f t="shared" si="325"/>
        <v>0.977199729016102+0.359890912073145i</v>
      </c>
      <c r="AA366" s="18">
        <f t="shared" si="340"/>
        <v>1.0413648635238195</v>
      </c>
      <c r="AB366" s="18">
        <f t="shared" si="341"/>
        <v>0.35287321197318916</v>
      </c>
      <c r="AC366" s="32" t="str">
        <f>IMDIV(IMSUM(COMPLEX(0,2*PI()*O366*Constants!$B$61*Constants!$B$62),COMPLEX(1,0)),IMSUM(COMPLEX(0,2*PI()*O366*Constants!$B$61*Constants!$B$62),COMPLEX(2,0)))</f>
        <v>0.562944313745596+0.165861901110213i</v>
      </c>
      <c r="AD366" s="18">
        <f t="shared" si="342"/>
        <v>0.5868700628064053</v>
      </c>
      <c r="AE366" s="18">
        <f t="shared" si="343"/>
        <v>0.28652558132109773</v>
      </c>
      <c r="AF366" s="66" t="str">
        <f t="shared" si="344"/>
        <v>-0.19661576537541-0.165316535922209i</v>
      </c>
      <c r="AG366" s="64">
        <f t="shared" si="345"/>
        <v>-11.805395343799594</v>
      </c>
      <c r="AH366" s="61">
        <f t="shared" si="346"/>
        <v>-139.94253561521543</v>
      </c>
      <c r="AI366" s="50" t="str">
        <f t="shared" si="326"/>
        <v>107.538871525172</v>
      </c>
      <c r="AJ366" s="50" t="str">
        <f t="shared" si="327"/>
        <v>1+141.387769019675i</v>
      </c>
      <c r="AK366" s="50">
        <f t="shared" si="347"/>
        <v>141.39130534923629</v>
      </c>
      <c r="AL366" s="50">
        <f t="shared" si="348"/>
        <v>1.5637236971548092</v>
      </c>
      <c r="AM366" s="50" t="str">
        <f t="shared" si="328"/>
        <v>1+0.170774246502195i</v>
      </c>
      <c r="AN366" s="50">
        <f t="shared" si="349"/>
        <v>1.0144771280163947</v>
      </c>
      <c r="AO366" s="50">
        <f t="shared" si="350"/>
        <v>0.1691425600276848</v>
      </c>
      <c r="AP366" s="50" t="str">
        <f t="shared" si="329"/>
        <v>1-0.491005558365407i</v>
      </c>
      <c r="AQ366" s="50">
        <f t="shared" si="351"/>
        <v>1.1140405999539358</v>
      </c>
      <c r="AR366" s="50">
        <f t="shared" si="352"/>
        <v>-0.45642619975568371</v>
      </c>
      <c r="AS366" s="59" t="str">
        <f t="shared" si="353"/>
        <v>-0.237723961051704-0.826053409174609i</v>
      </c>
      <c r="AT366" s="50">
        <f t="shared" si="354"/>
        <v>-1.314279011872828</v>
      </c>
      <c r="AU366" s="61">
        <f t="shared" si="355"/>
        <v>-106.054908251135</v>
      </c>
      <c r="AV366" s="32" t="str">
        <f t="shared" si="330"/>
        <v>-0.0000333333333333333</v>
      </c>
      <c r="AW366" s="32" t="str">
        <f t="shared" si="331"/>
        <v>0.00910795981345041i</v>
      </c>
      <c r="AX366" s="32">
        <f t="shared" si="356"/>
        <v>9.10795981345041E-3</v>
      </c>
      <c r="AY366" s="32">
        <f t="shared" si="357"/>
        <v>1.5707963267948966</v>
      </c>
      <c r="AZ366" s="32" t="str">
        <f t="shared" si="332"/>
        <v>1+3.71592110444592i</v>
      </c>
      <c r="BA366" s="32">
        <f t="shared" si="358"/>
        <v>3.8481254728070633</v>
      </c>
      <c r="BB366" s="32">
        <f t="shared" si="359"/>
        <v>1.3079120795730366</v>
      </c>
      <c r="BC366" s="32" t="str">
        <f t="shared" si="333"/>
        <v>1+178.364213013404i</v>
      </c>
      <c r="BD366" s="32">
        <f t="shared" si="360"/>
        <v>178.36701624429043</v>
      </c>
      <c r="BE366" s="32">
        <f t="shared" si="361"/>
        <v>1.5651898797074051</v>
      </c>
      <c r="BF366" s="59" t="str">
        <f t="shared" si="362"/>
        <v>-0.0431641838305336+0.164054504068418i</v>
      </c>
      <c r="BG366" s="50">
        <f t="shared" si="363"/>
        <v>-15.409540746592311</v>
      </c>
      <c r="BH366" s="61">
        <f t="shared" si="364"/>
        <v>104.74093211010968</v>
      </c>
      <c r="BI366" s="59" t="str">
        <f t="shared" si="365"/>
        <v>0.0356076813556721-0.0251199485339221i</v>
      </c>
      <c r="BJ366" s="64">
        <f t="shared" si="366"/>
        <v>-27.214936090391898</v>
      </c>
      <c r="BK366" s="61">
        <f t="shared" si="367"/>
        <v>-35.201603505105744</v>
      </c>
      <c r="BL366" s="59" t="str">
        <f t="shared" si="318"/>
        <v>0.145778943131925-0.00334376532806541i</v>
      </c>
      <c r="BM366" s="64">
        <f t="shared" si="368"/>
        <v>-16.72381975846513</v>
      </c>
      <c r="BN366" s="61">
        <f t="shared" si="319"/>
        <v>-1.3139761410253319</v>
      </c>
      <c r="BO366" s="50">
        <f t="shared" si="369"/>
        <v>-27.214936090391898</v>
      </c>
      <c r="BP366" s="61">
        <f t="shared" si="370"/>
        <v>-35.201603505105744</v>
      </c>
    </row>
    <row r="367" spans="14:68" x14ac:dyDescent="0.25">
      <c r="N367" s="11">
        <v>49</v>
      </c>
      <c r="O367" s="51">
        <f t="shared" si="320"/>
        <v>30902.954325135954</v>
      </c>
      <c r="P367" s="49" t="str">
        <f t="shared" si="321"/>
        <v>37.1583961085025</v>
      </c>
      <c r="Q367" s="18" t="str">
        <f t="shared" si="322"/>
        <v>1+152.191578987846i</v>
      </c>
      <c r="R367" s="18">
        <f t="shared" si="334"/>
        <v>152.19486428527662</v>
      </c>
      <c r="S367" s="18">
        <f t="shared" si="335"/>
        <v>1.564225755572711</v>
      </c>
      <c r="T367" s="18" t="str">
        <f t="shared" si="323"/>
        <v>1+0.174752089707723i</v>
      </c>
      <c r="U367" s="18">
        <f t="shared" si="336"/>
        <v>1.0151543197254376</v>
      </c>
      <c r="V367" s="18">
        <f t="shared" si="337"/>
        <v>0.173005112687657</v>
      </c>
      <c r="W367" s="32" t="str">
        <f t="shared" si="324"/>
        <v>1-1.52958643335029i</v>
      </c>
      <c r="X367" s="18">
        <f t="shared" si="338"/>
        <v>1.8274667321429579</v>
      </c>
      <c r="Y367" s="18">
        <f t="shared" si="339"/>
        <v>-0.99177436333388758</v>
      </c>
      <c r="Z367" s="32" t="str">
        <f t="shared" si="325"/>
        <v>0.976125185349464+0.368273848309978i</v>
      </c>
      <c r="AA367" s="18">
        <f t="shared" si="340"/>
        <v>1.043286156729095</v>
      </c>
      <c r="AB367" s="18">
        <f t="shared" si="341"/>
        <v>0.36076927475884951</v>
      </c>
      <c r="AC367" s="32" t="str">
        <f>IMDIV(IMSUM(COMPLEX(0,2*PI()*O367*Constants!$B$61*Constants!$B$62),COMPLEX(1,0)),IMSUM(COMPLEX(0,2*PI()*O367*Constants!$B$61*Constants!$B$62),COMPLEX(2,0)))</f>
        <v>0.565522048936238+0.168724288622938i</v>
      </c>
      <c r="AD367" s="18">
        <f t="shared" si="342"/>
        <v>0.59015512655941349</v>
      </c>
      <c r="AE367" s="18">
        <f t="shared" si="343"/>
        <v>0.28994362157589387</v>
      </c>
      <c r="AF367" s="66" t="str">
        <f t="shared" si="344"/>
        <v>-0.197966167420607-0.16264846787053i</v>
      </c>
      <c r="AG367" s="64">
        <f t="shared" si="345"/>
        <v>-11.827975035327071</v>
      </c>
      <c r="AH367" s="61">
        <f t="shared" si="346"/>
        <v>-140.59356746573735</v>
      </c>
      <c r="AI367" s="50" t="str">
        <f t="shared" si="326"/>
        <v>107.538871525172</v>
      </c>
      <c r="AJ367" s="50" t="str">
        <f t="shared" si="327"/>
        <v>1+144.681113232043i</v>
      </c>
      <c r="AK367" s="50">
        <f t="shared" si="347"/>
        <v>144.68456906686092</v>
      </c>
      <c r="AL367" s="50">
        <f t="shared" si="348"/>
        <v>1.5638846846737404</v>
      </c>
      <c r="AM367" s="50" t="str">
        <f t="shared" si="328"/>
        <v>1+0.174752089707723i</v>
      </c>
      <c r="AN367" s="50">
        <f t="shared" si="349"/>
        <v>1.0151543197254376</v>
      </c>
      <c r="AO367" s="50">
        <f t="shared" si="350"/>
        <v>0.173005112687657</v>
      </c>
      <c r="AP367" s="50" t="str">
        <f t="shared" si="329"/>
        <v>1-0.502442547046219i</v>
      </c>
      <c r="AQ367" s="50">
        <f t="shared" si="351"/>
        <v>1.1191284613851495</v>
      </c>
      <c r="AR367" s="50">
        <f t="shared" si="352"/>
        <v>-0.46559973688994594</v>
      </c>
      <c r="AS367" s="59" t="str">
        <f t="shared" si="353"/>
        <v>-0.237966601997748-0.810189102668674i</v>
      </c>
      <c r="AT367" s="50">
        <f t="shared" si="354"/>
        <v>-1.4688946508713134</v>
      </c>
      <c r="AU367" s="61">
        <f t="shared" si="355"/>
        <v>-106.36842915196046</v>
      </c>
      <c r="AV367" s="32" t="str">
        <f t="shared" si="330"/>
        <v>-0.0000333333333333333</v>
      </c>
      <c r="AW367" s="32" t="str">
        <f t="shared" si="331"/>
        <v>0.00932011145107853i</v>
      </c>
      <c r="AX367" s="32">
        <f t="shared" si="356"/>
        <v>9.3201114510785294E-3</v>
      </c>
      <c r="AY367" s="32">
        <f t="shared" si="357"/>
        <v>1.5707963267948966</v>
      </c>
      <c r="AZ367" s="32" t="str">
        <f t="shared" si="332"/>
        <v>1+3.80247602604767i</v>
      </c>
      <c r="BA367" s="32">
        <f t="shared" si="358"/>
        <v>3.931771093116597</v>
      </c>
      <c r="BB367" s="32">
        <f t="shared" si="359"/>
        <v>1.3136328785396842</v>
      </c>
      <c r="BC367" s="32" t="str">
        <f t="shared" si="333"/>
        <v>1+182.518849250288i</v>
      </c>
      <c r="BD367" s="32">
        <f t="shared" si="360"/>
        <v>182.52158867281798</v>
      </c>
      <c r="BE367" s="32">
        <f t="shared" si="361"/>
        <v>1.5653174954400904</v>
      </c>
      <c r="BF367" s="59" t="str">
        <f t="shared" si="362"/>
        <v>-0.0413471454031783+0.1607980242837i</v>
      </c>
      <c r="BG367" s="50">
        <f t="shared" si="363"/>
        <v>-15.596326911768799</v>
      </c>
      <c r="BH367" s="61">
        <f t="shared" si="364"/>
        <v>104.42046631676017</v>
      </c>
      <c r="BI367" s="59" t="str">
        <f t="shared" si="365"/>
        <v>0.0343388881956019-0.0251075187456028i</v>
      </c>
      <c r="BJ367" s="64">
        <f t="shared" si="366"/>
        <v>-27.424301947095863</v>
      </c>
      <c r="BK367" s="61">
        <f t="shared" si="367"/>
        <v>-36.173101148977153</v>
      </c>
      <c r="BL367" s="59" t="str">
        <f t="shared" si="318"/>
        <v>0.140116046699208-0.00476555281463124i</v>
      </c>
      <c r="BM367" s="64">
        <f t="shared" si="368"/>
        <v>-17.06522156264009</v>
      </c>
      <c r="BN367" s="61">
        <f t="shared" si="319"/>
        <v>-1.9479628352002867</v>
      </c>
      <c r="BO367" s="50">
        <f t="shared" si="369"/>
        <v>-27.424301947095863</v>
      </c>
      <c r="BP367" s="61">
        <f t="shared" si="370"/>
        <v>-36.173101148977153</v>
      </c>
    </row>
    <row r="368" spans="14:68" x14ac:dyDescent="0.25">
      <c r="N368" s="11">
        <v>50</v>
      </c>
      <c r="O368" s="51">
        <f t="shared" si="320"/>
        <v>31622.77660168384</v>
      </c>
      <c r="P368" s="49" t="str">
        <f t="shared" si="321"/>
        <v>37.1583961085025</v>
      </c>
      <c r="Q368" s="18" t="str">
        <f t="shared" si="322"/>
        <v>1+155.736576262406i</v>
      </c>
      <c r="R368" s="18">
        <f t="shared" si="334"/>
        <v>155.7397867788967</v>
      </c>
      <c r="S368" s="18">
        <f t="shared" si="335"/>
        <v>1.564375315874827</v>
      </c>
      <c r="T368" s="18" t="str">
        <f t="shared" si="323"/>
        <v>1+0.17882258878433i</v>
      </c>
      <c r="U368" s="18">
        <f t="shared" si="336"/>
        <v>1.0158629426549282</v>
      </c>
      <c r="V368" s="18">
        <f t="shared" si="337"/>
        <v>0.17695224425904335</v>
      </c>
      <c r="W368" s="32" t="str">
        <f t="shared" si="324"/>
        <v>1-1.56521507833506i</v>
      </c>
      <c r="X368" s="18">
        <f t="shared" si="338"/>
        <v>1.8573901694171389</v>
      </c>
      <c r="Y368" s="18">
        <f t="shared" si="339"/>
        <v>-1.0022711086189047</v>
      </c>
      <c r="Z368" s="32" t="str">
        <f t="shared" si="325"/>
        <v>0.975+0.376852048215865i</v>
      </c>
      <c r="AA368" s="18">
        <f t="shared" si="340"/>
        <v>1.0452953966436915</v>
      </c>
      <c r="AB368" s="18">
        <f t="shared" si="341"/>
        <v>0.36882753080968772</v>
      </c>
      <c r="AC368" s="32" t="str">
        <f>IMDIV(IMSUM(COMPLEX(0,2*PI()*O368*Constants!$B$61*Constants!$B$62),COMPLEX(1,0)),IMSUM(COMPLEX(0,2*PI()*O368*Constants!$B$61*Constants!$B$62),COMPLEX(2,0)))</f>
        <v>0.568188879038151+0.171594627813914i</v>
      </c>
      <c r="AD368" s="18">
        <f t="shared" si="342"/>
        <v>0.59353459760760885</v>
      </c>
      <c r="AE368" s="18">
        <f t="shared" si="343"/>
        <v>0.29329320392394331</v>
      </c>
      <c r="AF368" s="66" t="str">
        <f t="shared" si="344"/>
        <v>-0.199349809277917-0.16001121805666i</v>
      </c>
      <c r="AG368" s="64">
        <f t="shared" si="345"/>
        <v>-11.847947068779082</v>
      </c>
      <c r="AH368" s="61">
        <f t="shared" si="346"/>
        <v>-141.24718899333729</v>
      </c>
      <c r="AI368" s="50" t="str">
        <f t="shared" si="326"/>
        <v>107.538871525172</v>
      </c>
      <c r="AJ368" s="50" t="str">
        <f t="shared" si="327"/>
        <v>1+148.051169285728i</v>
      </c>
      <c r="AK368" s="50">
        <f t="shared" si="347"/>
        <v>148.05454645795683</v>
      </c>
      <c r="AL368" s="50">
        <f t="shared" si="348"/>
        <v>1.5640420080155351</v>
      </c>
      <c r="AM368" s="50" t="str">
        <f t="shared" si="328"/>
        <v>1+0.17882258878433i</v>
      </c>
      <c r="AN368" s="50">
        <f t="shared" si="349"/>
        <v>1.0158629426549282</v>
      </c>
      <c r="AO368" s="50">
        <f t="shared" si="350"/>
        <v>0.17695224425904335</v>
      </c>
      <c r="AP368" s="50" t="str">
        <f t="shared" si="329"/>
        <v>1-0.514145937416088i</v>
      </c>
      <c r="AQ368" s="50">
        <f t="shared" si="351"/>
        <v>1.1244314318629962</v>
      </c>
      <c r="AR368" s="50">
        <f t="shared" si="352"/>
        <v>-0.47490020984853853</v>
      </c>
      <c r="AS368" s="59" t="str">
        <f t="shared" si="353"/>
        <v>-0.238198323322167-0.794754218154432i</v>
      </c>
      <c r="AT368" s="50">
        <f t="shared" si="354"/>
        <v>-1.6217635621117914</v>
      </c>
      <c r="AU368" s="61">
        <f t="shared" si="355"/>
        <v>-106.68416698324376</v>
      </c>
      <c r="AV368" s="32" t="str">
        <f t="shared" si="330"/>
        <v>-0.0000333333333333333</v>
      </c>
      <c r="AW368" s="32" t="str">
        <f t="shared" si="331"/>
        <v>0.00953720473516427i</v>
      </c>
      <c r="AX368" s="32">
        <f t="shared" si="356"/>
        <v>9.5372047351642703E-3</v>
      </c>
      <c r="AY368" s="32">
        <f t="shared" si="357"/>
        <v>1.5707963267948966</v>
      </c>
      <c r="AZ368" s="32" t="str">
        <f t="shared" si="332"/>
        <v>1+3.89104707077014i</v>
      </c>
      <c r="BA368" s="32">
        <f t="shared" si="358"/>
        <v>4.0174926642059834</v>
      </c>
      <c r="BB368" s="32">
        <f t="shared" si="359"/>
        <v>1.3192401389428261</v>
      </c>
      <c r="BC368" s="32" t="str">
        <f t="shared" si="333"/>
        <v>1+186.770259396967i</v>
      </c>
      <c r="BD368" s="32">
        <f t="shared" si="360"/>
        <v>186.77293646353141</v>
      </c>
      <c r="BE368" s="32">
        <f t="shared" si="361"/>
        <v>1.5654422064564895</v>
      </c>
      <c r="BF368" s="59" t="str">
        <f t="shared" si="362"/>
        <v>-0.0396015146846946+0.157586441885865i</v>
      </c>
      <c r="BG368" s="50">
        <f t="shared" si="363"/>
        <v>-15.783670120441</v>
      </c>
      <c r="BH368" s="61">
        <f t="shared" si="364"/>
        <v>104.10633937592782</v>
      </c>
      <c r="BI368" s="59" t="str">
        <f t="shared" si="365"/>
        <v>0.0331101529148828-0.025078140533146i</v>
      </c>
      <c r="BJ368" s="64">
        <f t="shared" si="366"/>
        <v>-27.631617189220087</v>
      </c>
      <c r="BK368" s="61">
        <f t="shared" si="367"/>
        <v>-37.140849617409465</v>
      </c>
      <c r="BL368" s="59" t="str">
        <f t="shared" si="318"/>
        <v>0.134675503811652-0.00606335539455344i</v>
      </c>
      <c r="BM368" s="64">
        <f t="shared" si="368"/>
        <v>-17.405433682552783</v>
      </c>
      <c r="BN368" s="61">
        <f t="shared" si="319"/>
        <v>-2.5778276073159425</v>
      </c>
      <c r="BO368" s="50">
        <f t="shared" si="369"/>
        <v>-27.631617189220087</v>
      </c>
      <c r="BP368" s="61">
        <f t="shared" si="370"/>
        <v>-37.140849617409465</v>
      </c>
    </row>
    <row r="369" spans="14:68" x14ac:dyDescent="0.25">
      <c r="N369" s="11">
        <v>51</v>
      </c>
      <c r="O369" s="51">
        <f t="shared" si="320"/>
        <v>32359.365692962871</v>
      </c>
      <c r="P369" s="49" t="str">
        <f t="shared" si="321"/>
        <v>37.1583961085025</v>
      </c>
      <c r="Q369" s="18" t="str">
        <f t="shared" si="322"/>
        <v>1+159.364147131117i</v>
      </c>
      <c r="R369" s="18">
        <f t="shared" si="334"/>
        <v>159.36728456878566</v>
      </c>
      <c r="S369" s="18">
        <f t="shared" si="335"/>
        <v>1.564521472046406</v>
      </c>
      <c r="T369" s="18" t="str">
        <f t="shared" si="323"/>
        <v>1+0.182987901964508i</v>
      </c>
      <c r="U369" s="18">
        <f t="shared" si="336"/>
        <v>1.0166044325426544</v>
      </c>
      <c r="V369" s="18">
        <f t="shared" si="337"/>
        <v>0.18098555535330449</v>
      </c>
      <c r="W369" s="32" t="str">
        <f t="shared" si="324"/>
        <v>1-1.60167362107243i</v>
      </c>
      <c r="X369" s="18">
        <f t="shared" si="338"/>
        <v>1.8882156625871076</v>
      </c>
      <c r="Y369" s="18">
        <f t="shared" si="339"/>
        <v>-1.0126667763434249</v>
      </c>
      <c r="Z369" s="32" t="str">
        <f t="shared" si="325"/>
        <v>0.973821786298728+0.385630060065943i</v>
      </c>
      <c r="AA369" s="18">
        <f t="shared" si="340"/>
        <v>1.0473964935479343</v>
      </c>
      <c r="AB369" s="18">
        <f t="shared" si="341"/>
        <v>0.37705036306792367</v>
      </c>
      <c r="AC369" s="32" t="str">
        <f>IMDIV(IMSUM(COMPLEX(0,2*PI()*O369*Constants!$B$61*Constants!$B$62),COMPLEX(1,0)),IMSUM(COMPLEX(0,2*PI()*O369*Constants!$B$61*Constants!$B$62),COMPLEX(2,0)))</f>
        <v>0.570946528291938+0.174470210263215i</v>
      </c>
      <c r="AD369" s="18">
        <f t="shared" si="342"/>
        <v>0.5970090388242939</v>
      </c>
      <c r="AE369" s="18">
        <f t="shared" si="343"/>
        <v>0.29656875894680212</v>
      </c>
      <c r="AF369" s="66" t="str">
        <f t="shared" si="344"/>
        <v>-0.200766472339805-0.157400894547522i</v>
      </c>
      <c r="AG369" s="64">
        <f t="shared" si="345"/>
        <v>-11.865376546059743</v>
      </c>
      <c r="AH369" s="61">
        <f t="shared" si="346"/>
        <v>-141.90355741345786</v>
      </c>
      <c r="AI369" s="50" t="str">
        <f t="shared" si="326"/>
        <v>107.538871525172</v>
      </c>
      <c r="AJ369" s="50" t="str">
        <f t="shared" si="327"/>
        <v>1+151.499724029057i</v>
      </c>
      <c r="AK369" s="50">
        <f t="shared" si="347"/>
        <v>151.50302432915467</v>
      </c>
      <c r="AL369" s="50">
        <f t="shared" si="348"/>
        <v>1.5641957505639426</v>
      </c>
      <c r="AM369" s="50" t="str">
        <f t="shared" si="328"/>
        <v>1+0.182987901964508i</v>
      </c>
      <c r="AN369" s="50">
        <f t="shared" si="349"/>
        <v>1.0166044325426544</v>
      </c>
      <c r="AO369" s="50">
        <f t="shared" si="350"/>
        <v>0.18098555535330449</v>
      </c>
      <c r="AP369" s="50" t="str">
        <f t="shared" si="329"/>
        <v>1-0.526121934767502i</v>
      </c>
      <c r="AQ369" s="50">
        <f t="shared" si="351"/>
        <v>1.1299576497566179</v>
      </c>
      <c r="AR369" s="50">
        <f t="shared" si="352"/>
        <v>-0.48432611311481494</v>
      </c>
      <c r="AS369" s="59" t="str">
        <f t="shared" si="353"/>
        <v>-0.238419616399159-0.779740581929134i</v>
      </c>
      <c r="AT369" s="50">
        <f t="shared" si="354"/>
        <v>-1.772833238897894</v>
      </c>
      <c r="AU369" s="61">
        <f t="shared" si="355"/>
        <v>-107.00194855449085</v>
      </c>
      <c r="AV369" s="32" t="str">
        <f t="shared" si="330"/>
        <v>-0.0000333333333333333</v>
      </c>
      <c r="AW369" s="32" t="str">
        <f t="shared" si="331"/>
        <v>0.00975935477144043i</v>
      </c>
      <c r="AX369" s="32">
        <f t="shared" si="356"/>
        <v>9.7593547714404302E-3</v>
      </c>
      <c r="AY369" s="32">
        <f t="shared" si="357"/>
        <v>1.5707963267948966</v>
      </c>
      <c r="AZ369" s="32" t="str">
        <f t="shared" si="332"/>
        <v>1+3.98168120015364i</v>
      </c>
      <c r="BA369" s="32">
        <f t="shared" si="358"/>
        <v>4.1053361835124944</v>
      </c>
      <c r="BB369" s="32">
        <f t="shared" si="359"/>
        <v>1.3247354228382082</v>
      </c>
      <c r="BC369" s="32" t="str">
        <f t="shared" si="333"/>
        <v>1+191.120697607375i</v>
      </c>
      <c r="BD369" s="32">
        <f t="shared" si="360"/>
        <v>191.12331373730854</v>
      </c>
      <c r="BE369" s="32">
        <f t="shared" si="361"/>
        <v>1.5655640788645084</v>
      </c>
      <c r="BF369" s="59" t="str">
        <f t="shared" si="362"/>
        <v>-0.0379249073087896+0.154420416794108i</v>
      </c>
      <c r="BG369" s="50">
        <f t="shared" si="363"/>
        <v>-15.971548415609739</v>
      </c>
      <c r="BH369" s="61">
        <f t="shared" si="364"/>
        <v>103.79846557611482</v>
      </c>
      <c r="BI369" s="59" t="str">
        <f t="shared" si="365"/>
        <v>0.0319199615939936-0.0250330280009601i</v>
      </c>
      <c r="BJ369" s="64">
        <f t="shared" si="366"/>
        <v>-27.836924961669478</v>
      </c>
      <c r="BK369" s="61">
        <f t="shared" si="367"/>
        <v>-38.105091837343011</v>
      </c>
      <c r="BL369" s="59" t="str">
        <f t="shared" si="318"/>
        <v>0.129449907505312-0.00724526724168541i</v>
      </c>
      <c r="BM369" s="64">
        <f t="shared" si="368"/>
        <v>-17.74438165450767</v>
      </c>
      <c r="BN369" s="61">
        <f t="shared" si="319"/>
        <v>-3.2034829783760417</v>
      </c>
      <c r="BO369" s="50">
        <f t="shared" si="369"/>
        <v>-27.836924961669478</v>
      </c>
      <c r="BP369" s="61">
        <f t="shared" si="370"/>
        <v>-38.105091837343011</v>
      </c>
    </row>
    <row r="370" spans="14:68" x14ac:dyDescent="0.25">
      <c r="N370" s="11">
        <v>52</v>
      </c>
      <c r="O370" s="51">
        <f t="shared" si="320"/>
        <v>33113.11214825909</v>
      </c>
      <c r="P370" s="49" t="str">
        <f t="shared" si="321"/>
        <v>37.1583961085025</v>
      </c>
      <c r="Q370" s="18" t="str">
        <f t="shared" si="322"/>
        <v>1+163.076214980071i</v>
      </c>
      <c r="R370" s="18">
        <f t="shared" si="334"/>
        <v>163.07928100229756</v>
      </c>
      <c r="S370" s="18">
        <f t="shared" si="335"/>
        <v>1.5646643015563932</v>
      </c>
      <c r="T370" s="18" t="str">
        <f t="shared" si="323"/>
        <v>1+0.187250237752438i</v>
      </c>
      <c r="U370" s="18">
        <f t="shared" si="336"/>
        <v>1.017380288554061</v>
      </c>
      <c r="V370" s="18">
        <f t="shared" si="337"/>
        <v>0.18510665932826315</v>
      </c>
      <c r="W370" s="32" t="str">
        <f t="shared" si="324"/>
        <v>1-1.63898139236436i</v>
      </c>
      <c r="X370" s="18">
        <f t="shared" si="338"/>
        <v>1.9199635424967363</v>
      </c>
      <c r="Y370" s="18">
        <f t="shared" si="339"/>
        <v>-1.0229578904518541</v>
      </c>
      <c r="Z370" s="32" t="str">
        <f t="shared" si="325"/>
        <v>0.97258804509642+0.394612538078285i</v>
      </c>
      <c r="AA370" s="18">
        <f t="shared" si="340"/>
        <v>1.0495935216420984</v>
      </c>
      <c r="AB370" s="18">
        <f t="shared" si="341"/>
        <v>0.38544012770866032</v>
      </c>
      <c r="AC370" s="32" t="str">
        <f>IMDIV(IMSUM(COMPLEX(0,2*PI()*O370*Constants!$B$61*Constants!$B$62),COMPLEX(1,0)),IMSUM(COMPLEX(0,2*PI()*O370*Constants!$B$61*Constants!$B$62),COMPLEX(2,0)))</f>
        <v>0.573796641246626+0.177348178349905i</v>
      </c>
      <c r="AD370" s="18">
        <f t="shared" si="342"/>
        <v>0.6005788556633832</v>
      </c>
      <c r="AE370" s="18">
        <f t="shared" si="343"/>
        <v>0.29976470043003212</v>
      </c>
      <c r="AF370" s="66" t="str">
        <f t="shared" si="344"/>
        <v>-0.202215809192242-0.154813573335719i</v>
      </c>
      <c r="AG370" s="64">
        <f t="shared" si="345"/>
        <v>-11.880332604561744</v>
      </c>
      <c r="AH370" s="61">
        <f t="shared" si="346"/>
        <v>-142.56284062823335</v>
      </c>
      <c r="AI370" s="50" t="str">
        <f t="shared" si="326"/>
        <v>107.538871525172</v>
      </c>
      <c r="AJ370" s="50" t="str">
        <f t="shared" si="327"/>
        <v>1+155.028605931402i</v>
      </c>
      <c r="AK370" s="50">
        <f t="shared" si="347"/>
        <v>155.03183110907881</v>
      </c>
      <c r="AL370" s="50">
        <f t="shared" si="348"/>
        <v>1.5643459938062085</v>
      </c>
      <c r="AM370" s="50" t="str">
        <f t="shared" si="328"/>
        <v>1+0.187250237752438i</v>
      </c>
      <c r="AN370" s="50">
        <f t="shared" si="349"/>
        <v>1.017380288554061</v>
      </c>
      <c r="AO370" s="50">
        <f t="shared" si="350"/>
        <v>0.18510665932826315</v>
      </c>
      <c r="AP370" s="50" t="str">
        <f t="shared" si="329"/>
        <v>1-0.538376888932776i</v>
      </c>
      <c r="AQ370" s="50">
        <f t="shared" si="351"/>
        <v>1.1357154901369158</v>
      </c>
      <c r="AR370" s="50">
        <f t="shared" si="352"/>
        <v>-0.49387574380096821</v>
      </c>
      <c r="AS370" s="59" t="str">
        <f t="shared" si="353"/>
        <v>-0.238630950495336-0.765140242968942i</v>
      </c>
      <c r="AT370" s="50">
        <f t="shared" si="354"/>
        <v>-1.9220506700695075</v>
      </c>
      <c r="AU370" s="61">
        <f t="shared" si="355"/>
        <v>-107.32158852769861</v>
      </c>
      <c r="AV370" s="32" t="str">
        <f t="shared" si="330"/>
        <v>-0.0000333333333333333</v>
      </c>
      <c r="AW370" s="32" t="str">
        <f t="shared" si="331"/>
        <v>0.00998667934679671i</v>
      </c>
      <c r="AX370" s="32">
        <f t="shared" si="356"/>
        <v>9.9866793467967094E-3</v>
      </c>
      <c r="AY370" s="32">
        <f t="shared" si="357"/>
        <v>1.5707963267948966</v>
      </c>
      <c r="AZ370" s="32" t="str">
        <f t="shared" si="332"/>
        <v>1+4.07442646961324i</v>
      </c>
      <c r="BA370" s="32">
        <f t="shared" si="358"/>
        <v>4.1953487407228742</v>
      </c>
      <c r="BB370" s="32">
        <f t="shared" si="359"/>
        <v>1.3301203157569566</v>
      </c>
      <c r="BC370" s="32" t="str">
        <f t="shared" si="333"/>
        <v>1+195.572470541436i</v>
      </c>
      <c r="BD370" s="32">
        <f t="shared" si="360"/>
        <v>195.57502712176941</v>
      </c>
      <c r="BE370" s="32">
        <f t="shared" si="361"/>
        <v>1.5656831772680213</v>
      </c>
      <c r="BF370" s="59" t="str">
        <f t="shared" si="362"/>
        <v>-0.0363149831333973+0.151300507995889i</v>
      </c>
      <c r="BG370" s="50">
        <f t="shared" si="363"/>
        <v>-16.159940578937281</v>
      </c>
      <c r="BH370" s="61">
        <f t="shared" si="364"/>
        <v>103.49675777460874</v>
      </c>
      <c r="BI370" s="59" t="str">
        <f t="shared" si="365"/>
        <v>0.0307668359904757-0.0249733023510784i</v>
      </c>
      <c r="BJ370" s="64">
        <f t="shared" si="366"/>
        <v>-28.040273183499018</v>
      </c>
      <c r="BK370" s="61">
        <f t="shared" si="367"/>
        <v>-39.066082853624572</v>
      </c>
      <c r="BL370" s="59" t="str">
        <f t="shared" ref="BL370:BL433" si="371">IMPRODUCT(AS370,BF370)</f>
        <v>0.124431986391644-0.00831892901538554i</v>
      </c>
      <c r="BM370" s="64">
        <f t="shared" si="368"/>
        <v>-18.081991249006755</v>
      </c>
      <c r="BN370" s="61">
        <f t="shared" ref="BN370:BN433" si="372">(180/PI())*IMARGUMENT(BL370)</f>
        <v>-3.8248307530898509</v>
      </c>
      <c r="BO370" s="50">
        <f t="shared" si="369"/>
        <v>-28.040273183499018</v>
      </c>
      <c r="BP370" s="61">
        <f t="shared" si="370"/>
        <v>-39.066082853624572</v>
      </c>
    </row>
    <row r="371" spans="14:68" x14ac:dyDescent="0.25">
      <c r="N371" s="11">
        <v>53</v>
      </c>
      <c r="O371" s="51">
        <f t="shared" si="320"/>
        <v>33884.41561392029</v>
      </c>
      <c r="P371" s="49" t="str">
        <f t="shared" si="321"/>
        <v>37.1583961085025</v>
      </c>
      <c r="Q371" s="18" t="str">
        <f t="shared" si="322"/>
        <v>1+166.874747996777i</v>
      </c>
      <c r="R371" s="18">
        <f t="shared" si="334"/>
        <v>166.87774422908475</v>
      </c>
      <c r="S371" s="18">
        <f t="shared" si="335"/>
        <v>1.564803880111562</v>
      </c>
      <c r="T371" s="18" t="str">
        <f t="shared" si="323"/>
        <v>1+0.191611856094976i</v>
      </c>
      <c r="U371" s="18">
        <f t="shared" si="336"/>
        <v>1.0181920758855678</v>
      </c>
      <c r="V371" s="18">
        <f t="shared" si="337"/>
        <v>0.18931718104761955</v>
      </c>
      <c r="W371" s="32" t="str">
        <f t="shared" si="324"/>
        <v>1-1.67715817328501i</v>
      </c>
      <c r="X371" s="18">
        <f t="shared" si="338"/>
        <v>1.952654485109107</v>
      </c>
      <c r="Y371" s="18">
        <f t="shared" si="339"/>
        <v>-1.03314118782792</v>
      </c>
      <c r="Z371" s="32" t="str">
        <f t="shared" si="325"/>
        <v>0.971296159462578+0.403804244881634i</v>
      </c>
      <c r="AA371" s="18">
        <f t="shared" si="340"/>
        <v>1.0518907251094005</v>
      </c>
      <c r="AB371" s="18">
        <f t="shared" si="341"/>
        <v>0.39399914946596643</v>
      </c>
      <c r="AC371" s="32" t="str">
        <f>IMDIV(IMSUM(COMPLEX(0,2*PI()*O371*Constants!$B$61*Constants!$B$62),COMPLEX(1,0)),IMSUM(COMPLEX(0,2*PI()*O371*Constants!$B$61*Constants!$B$62),COMPLEX(2,0)))</f>
        <v>0.576740771955686+0.180225525099772i</v>
      </c>
      <c r="AD371" s="18">
        <f t="shared" si="342"/>
        <v>0.60424428663705976</v>
      </c>
      <c r="AE371" s="18">
        <f t="shared" si="343"/>
        <v>0.30287544411090001</v>
      </c>
      <c r="AF371" s="66" t="str">
        <f t="shared" si="344"/>
        <v>-0.20369733508443-0.1522453027668i</v>
      </c>
      <c r="AG371" s="64">
        <f t="shared" si="345"/>
        <v>-11.892888351219071</v>
      </c>
      <c r="AH371" s="61">
        <f t="shared" si="346"/>
        <v>-143.22521606685638</v>
      </c>
      <c r="AI371" s="50" t="str">
        <f t="shared" si="326"/>
        <v>107.538871525172</v>
      </c>
      <c r="AJ371" s="50" t="str">
        <f t="shared" si="327"/>
        <v>1+158.639686052659i</v>
      </c>
      <c r="AK371" s="50">
        <f t="shared" si="347"/>
        <v>158.64283781780446</v>
      </c>
      <c r="AL371" s="50">
        <f t="shared" si="348"/>
        <v>1.5644928173761417</v>
      </c>
      <c r="AM371" s="50" t="str">
        <f t="shared" si="328"/>
        <v>1+0.191611856094976i</v>
      </c>
      <c r="AN371" s="50">
        <f t="shared" si="349"/>
        <v>1.0181920758855678</v>
      </c>
      <c r="AO371" s="50">
        <f t="shared" si="350"/>
        <v>0.18931718104761955</v>
      </c>
      <c r="AP371" s="50" t="str">
        <f t="shared" si="329"/>
        <v>1-0.550917297650827i</v>
      </c>
      <c r="AQ371" s="50">
        <f t="shared" si="351"/>
        <v>1.1417135669032272</v>
      </c>
      <c r="AR371" s="50">
        <f t="shared" si="352"/>
        <v>-0.50354719736047882</v>
      </c>
      <c r="AS371" s="59" t="str">
        <f t="shared" si="353"/>
        <v>-0.238832773764032-0.750945468758057i</v>
      </c>
      <c r="AT371" s="50">
        <f t="shared" si="354"/>
        <v>-2.0693624110966775</v>
      </c>
      <c r="AU371" s="61">
        <f t="shared" si="355"/>
        <v>-107.64288924523821</v>
      </c>
      <c r="AV371" s="32" t="str">
        <f t="shared" si="330"/>
        <v>-0.0000333333333333333</v>
      </c>
      <c r="AW371" s="32" t="str">
        <f t="shared" si="331"/>
        <v>0.010219298991732i</v>
      </c>
      <c r="AX371" s="32">
        <f t="shared" si="356"/>
        <v>1.0219298991732E-2</v>
      </c>
      <c r="AY371" s="32">
        <f t="shared" si="357"/>
        <v>1.5707963267948966</v>
      </c>
      <c r="AZ371" s="32" t="str">
        <f t="shared" si="332"/>
        <v>1+4.16933205391846i</v>
      </c>
      <c r="BA371" s="32">
        <f t="shared" si="358"/>
        <v>4.2875785445670758</v>
      </c>
      <c r="BB371" s="32">
        <f t="shared" si="359"/>
        <v>1.3353964231351663</v>
      </c>
      <c r="BC371" s="32" t="str">
        <f t="shared" si="333"/>
        <v>1+200.127938588086i</v>
      </c>
      <c r="BD371" s="32">
        <f t="shared" si="360"/>
        <v>200.1304369742812</v>
      </c>
      <c r="BE371" s="32">
        <f t="shared" si="361"/>
        <v>1.5657995648010556</v>
      </c>
      <c r="BF371" s="59" t="str">
        <f t="shared" si="362"/>
        <v>-0.034769448654566+0.148227179109515i</v>
      </c>
      <c r="BG371" s="50">
        <f t="shared" si="363"/>
        <v>-16.348826116547038</v>
      </c>
      <c r="BH371" s="61">
        <f t="shared" si="364"/>
        <v>103.20112760401025</v>
      </c>
      <c r="BI371" s="59" t="str">
        <f t="shared" si="365"/>
        <v>0.0296493357950868-0.0248999961342416i</v>
      </c>
      <c r="BJ371" s="64">
        <f t="shared" si="366"/>
        <v>-28.241714467766108</v>
      </c>
      <c r="BK371" s="61">
        <f t="shared" si="367"/>
        <v>-40.024088462846152</v>
      </c>
      <c r="BL371" s="59" t="str">
        <f t="shared" si="371"/>
        <v>0.119614612363495-0.00929154841558119i</v>
      </c>
      <c r="BM371" s="64">
        <f t="shared" si="368"/>
        <v>-18.418188527643736</v>
      </c>
      <c r="BN371" s="61">
        <f t="shared" si="372"/>
        <v>-4.4417616412279557</v>
      </c>
      <c r="BO371" s="50">
        <f t="shared" si="369"/>
        <v>-28.241714467766108</v>
      </c>
      <c r="BP371" s="61">
        <f t="shared" si="370"/>
        <v>-40.024088462846152</v>
      </c>
    </row>
    <row r="372" spans="14:68" x14ac:dyDescent="0.25">
      <c r="N372" s="11">
        <v>54</v>
      </c>
      <c r="O372" s="51">
        <f t="shared" si="320"/>
        <v>34673.685045253202</v>
      </c>
      <c r="P372" s="49" t="str">
        <f t="shared" si="321"/>
        <v>37.1583961085025</v>
      </c>
      <c r="Q372" s="18" t="str">
        <f t="shared" si="322"/>
        <v>1+170.761760213718i</v>
      </c>
      <c r="R372" s="18">
        <f t="shared" si="334"/>
        <v>170.76468824463481</v>
      </c>
      <c r="S372" s="18">
        <f t="shared" si="335"/>
        <v>1.564940281696543</v>
      </c>
      <c r="T372" s="18" t="str">
        <f t="shared" si="323"/>
        <v>1+0.196075069579896i</v>
      </c>
      <c r="U372" s="18">
        <f t="shared" si="336"/>
        <v>1.0190414284565477</v>
      </c>
      <c r="V372" s="18">
        <f t="shared" si="337"/>
        <v>0.19361875552597838</v>
      </c>
      <c r="W372" s="32" t="str">
        <f t="shared" si="324"/>
        <v>1-1.71622420566894i</v>
      </c>
      <c r="X372" s="18">
        <f t="shared" si="338"/>
        <v>1.9863095237459807</v>
      </c>
      <c r="Y372" s="18">
        <f t="shared" si="339"/>
        <v>-1.0432136192925587</v>
      </c>
      <c r="Z372" s="32" t="str">
        <f t="shared" si="325"/>
        <v>0.969943389134565+0.413210054040596i</v>
      </c>
      <c r="AA372" s="18">
        <f t="shared" si="340"/>
        <v>1.0542925243432575</v>
      </c>
      <c r="AB372" s="18">
        <f t="shared" si="341"/>
        <v>0.40272971673820646</v>
      </c>
      <c r="AC372" s="32" t="str">
        <f>IMDIV(IMSUM(COMPLEX(0,2*PI()*O372*Constants!$B$61*Constants!$B$62),COMPLEX(1,0)),IMSUM(COMPLEX(0,2*PI()*O372*Constants!$B$61*Constants!$B$62),COMPLEX(2,0)))</f>
        <v>0.579780372772204+0.183099094772285i</v>
      </c>
      <c r="AD372" s="18">
        <f t="shared" si="342"/>
        <v>0.60800539402073239</v>
      </c>
      <c r="AE372" s="18">
        <f t="shared" si="343"/>
        <v>0.30589542721295804</v>
      </c>
      <c r="AF372" s="66" t="str">
        <f t="shared" si="344"/>
        <v>-0.205210419395275-0.14969210884442i</v>
      </c>
      <c r="AG372" s="64">
        <f t="shared" si="345"/>
        <v>-11.903120784832106</v>
      </c>
      <c r="AH372" s="61">
        <f t="shared" si="346"/>
        <v>-143.89086942298789</v>
      </c>
      <c r="AI372" s="50" t="str">
        <f t="shared" si="326"/>
        <v>107.538871525172</v>
      </c>
      <c r="AJ372" s="50" t="str">
        <f t="shared" si="327"/>
        <v>1+162.334879035304i</v>
      </c>
      <c r="AK372" s="50">
        <f t="shared" si="347"/>
        <v>162.33795905889286</v>
      </c>
      <c r="AL372" s="50">
        <f t="shared" si="348"/>
        <v>1.5646362990962068</v>
      </c>
      <c r="AM372" s="50" t="str">
        <f t="shared" si="328"/>
        <v>1+0.196075069579896i</v>
      </c>
      <c r="AN372" s="50">
        <f t="shared" si="349"/>
        <v>1.0190414284565477</v>
      </c>
      <c r="AO372" s="50">
        <f t="shared" si="350"/>
        <v>0.19361875552597838</v>
      </c>
      <c r="AP372" s="50" t="str">
        <f t="shared" si="329"/>
        <v>1-0.563749810012339i</v>
      </c>
      <c r="AQ372" s="50">
        <f t="shared" si="351"/>
        <v>1.1479607346459844</v>
      </c>
      <c r="AR372" s="50">
        <f t="shared" si="352"/>
        <v>-0.51333836384324005</v>
      </c>
      <c r="AS372" s="59" t="str">
        <f t="shared" si="353"/>
        <v>-0.239025514194926-0.737148741230716i</v>
      </c>
      <c r="AT372" s="50">
        <f t="shared" si="354"/>
        <v>-2.2147146593940996</v>
      </c>
      <c r="AU372" s="61">
        <f t="shared" si="355"/>
        <v>-107.96564059533625</v>
      </c>
      <c r="AV372" s="32" t="str">
        <f t="shared" si="330"/>
        <v>-0.0000333333333333333</v>
      </c>
      <c r="AW372" s="32" t="str">
        <f t="shared" si="331"/>
        <v>0.0104573370442612i</v>
      </c>
      <c r="AX372" s="32">
        <f t="shared" si="356"/>
        <v>1.0457337044261199E-2</v>
      </c>
      <c r="AY372" s="32">
        <f t="shared" si="357"/>
        <v>1.5707963267948966</v>
      </c>
      <c r="AZ372" s="32" t="str">
        <f t="shared" si="332"/>
        <v>1+4.26644827326627i</v>
      </c>
      <c r="BA372" s="32">
        <f t="shared" si="358"/>
        <v>4.382074950118577</v>
      </c>
      <c r="BB372" s="32">
        <f t="shared" si="359"/>
        <v>1.3405653669423911</v>
      </c>
      <c r="BC372" s="32" t="str">
        <f t="shared" si="333"/>
        <v>1+204.789517116781i</v>
      </c>
      <c r="BD372" s="32">
        <f t="shared" si="360"/>
        <v>204.79195863344913</v>
      </c>
      <c r="BE372" s="32">
        <f t="shared" si="361"/>
        <v>1.5659133031612023</v>
      </c>
      <c r="BF372" s="59" t="str">
        <f t="shared" si="362"/>
        <v>-0.0332860590521292+0.145200803817875i</v>
      </c>
      <c r="BG372" s="50">
        <f t="shared" si="363"/>
        <v>-16.538185244125302</v>
      </c>
      <c r="BH372" s="61">
        <f t="shared" si="364"/>
        <v>102.9114856673211</v>
      </c>
      <c r="BI372" s="59" t="str">
        <f t="shared" si="365"/>
        <v>0.0285660606675059-0.0248140574733641i</v>
      </c>
      <c r="BJ372" s="64">
        <f t="shared" si="366"/>
        <v>-28.441306028957413</v>
      </c>
      <c r="BK372" s="61">
        <f t="shared" si="367"/>
        <v>-40.979383755666859</v>
      </c>
      <c r="BL372" s="59" t="str">
        <f t="shared" si="371"/>
        <v>0.114990807140493-0.0101699202632758i</v>
      </c>
      <c r="BM372" s="64">
        <f t="shared" si="368"/>
        <v>-18.752899903519371</v>
      </c>
      <c r="BN372" s="61">
        <f t="shared" si="372"/>
        <v>-5.0541549280151168</v>
      </c>
      <c r="BO372" s="50">
        <f t="shared" si="369"/>
        <v>-28.441306028957413</v>
      </c>
      <c r="BP372" s="61">
        <f t="shared" si="370"/>
        <v>-40.979383755666859</v>
      </c>
    </row>
    <row r="373" spans="14:68" x14ac:dyDescent="0.25">
      <c r="N373" s="11">
        <v>55</v>
      </c>
      <c r="O373" s="51">
        <f t="shared" si="320"/>
        <v>35481.33892335758</v>
      </c>
      <c r="P373" s="49" t="str">
        <f t="shared" si="321"/>
        <v>37.1583961085025</v>
      </c>
      <c r="Q373" s="18" t="str">
        <f t="shared" si="322"/>
        <v>1+174.739312576225i</v>
      </c>
      <c r="R373" s="18">
        <f t="shared" si="334"/>
        <v>174.74217395812514</v>
      </c>
      <c r="S373" s="18">
        <f t="shared" si="335"/>
        <v>1.5650735786129477</v>
      </c>
      <c r="T373" s="18" t="str">
        <f t="shared" si="323"/>
        <v>1+0.20064224466207i</v>
      </c>
      <c r="U373" s="18">
        <f t="shared" si="336"/>
        <v>1.0199300516913079</v>
      </c>
      <c r="V373" s="18">
        <f t="shared" si="337"/>
        <v>0.19801302645326749</v>
      </c>
      <c r="W373" s="32" t="str">
        <f t="shared" si="324"/>
        <v>1-1.75620020284363i</v>
      </c>
      <c r="X373" s="18">
        <f t="shared" si="338"/>
        <v>2.0209500618441831</v>
      </c>
      <c r="Y373" s="18">
        <f t="shared" si="339"/>
        <v>-1.0531723497364096</v>
      </c>
      <c r="Z373" s="32" t="str">
        <f t="shared" si="325"/>
        <v>0.968526864705146+0.422834952639695i</v>
      </c>
      <c r="AA373" s="18">
        <f t="shared" si="340"/>
        <v>1.056803522339604</v>
      </c>
      <c r="AB373" s="18">
        <f t="shared" si="341"/>
        <v>0.41163407647456035</v>
      </c>
      <c r="AC373" s="32" t="str">
        <f>IMDIV(IMSUM(COMPLEX(0,2*PI()*O373*Constants!$B$61*Constants!$B$62),COMPLEX(1,0)),IMSUM(COMPLEX(0,2*PI()*O373*Constants!$B$61*Constants!$B$62),COMPLEX(2,0)))</f>
        <v>0.582916782786371+0.185965584250267i</v>
      </c>
      <c r="AD373" s="18">
        <f t="shared" si="342"/>
        <v>0.61186205486167911</v>
      </c>
      <c r="AE373" s="18">
        <f t="shared" si="343"/>
        <v>0.30881912866788841</v>
      </c>
      <c r="AF373" s="66" t="str">
        <f t="shared" si="344"/>
        <v>-0.206754277170471-0.147150001454519i</v>
      </c>
      <c r="AG373" s="64">
        <f t="shared" si="345"/>
        <v>-11.911110706297588</v>
      </c>
      <c r="AH373" s="61">
        <f t="shared" si="346"/>
        <v>-144.55999329752601</v>
      </c>
      <c r="AI373" s="50" t="str">
        <f t="shared" si="326"/>
        <v>107.538871525172</v>
      </c>
      <c r="AJ373" s="50" t="str">
        <f t="shared" si="327"/>
        <v>1+166.116144119571i</v>
      </c>
      <c r="AK373" s="50">
        <f t="shared" si="347"/>
        <v>166.11915403454859</v>
      </c>
      <c r="AL373" s="50">
        <f t="shared" si="348"/>
        <v>1.5647765150186668</v>
      </c>
      <c r="AM373" s="50" t="str">
        <f t="shared" si="328"/>
        <v>1+0.20064224466207i</v>
      </c>
      <c r="AN373" s="50">
        <f t="shared" si="349"/>
        <v>1.0199300516913079</v>
      </c>
      <c r="AO373" s="50">
        <f t="shared" si="350"/>
        <v>0.19801302645326749</v>
      </c>
      <c r="AP373" s="50" t="str">
        <f t="shared" si="329"/>
        <v>1-0.576881229985235i</v>
      </c>
      <c r="AQ373" s="50">
        <f t="shared" si="351"/>
        <v>1.1544660902379409</v>
      </c>
      <c r="AR373" s="50">
        <f t="shared" si="352"/>
        <v>-0.52324692474863832</v>
      </c>
      <c r="AS373" s="59" t="str">
        <f t="shared" si="353"/>
        <v>-0.239209580520977-0.723742752824098i</v>
      </c>
      <c r="AT373" s="50">
        <f t="shared" si="354"/>
        <v>-2.3580533336434732</v>
      </c>
      <c r="AU373" s="61">
        <f t="shared" si="355"/>
        <v>-108.28961991867071</v>
      </c>
      <c r="AV373" s="32" t="str">
        <f t="shared" si="330"/>
        <v>-0.0000333333333333333</v>
      </c>
      <c r="AW373" s="32" t="str">
        <f t="shared" si="331"/>
        <v>0.0107009197153104i</v>
      </c>
      <c r="AX373" s="32">
        <f t="shared" si="356"/>
        <v>1.0700919715310399E-2</v>
      </c>
      <c r="AY373" s="32">
        <f t="shared" si="357"/>
        <v>1.5707963267948966</v>
      </c>
      <c r="AZ373" s="32" t="str">
        <f t="shared" si="332"/>
        <v>1+4.36582661996171i</v>
      </c>
      <c r="BA373" s="32">
        <f t="shared" si="358"/>
        <v>4.4788884866187821</v>
      </c>
      <c r="BB373" s="32">
        <f t="shared" si="359"/>
        <v>1.3456287825041413</v>
      </c>
      <c r="BC373" s="32" t="str">
        <f t="shared" si="333"/>
        <v>1+209.559677758163i</v>
      </c>
      <c r="BD373" s="32">
        <f t="shared" si="360"/>
        <v>209.56206369976678</v>
      </c>
      <c r="BE373" s="32">
        <f t="shared" si="361"/>
        <v>1.5660244526422673</v>
      </c>
      <c r="BF373" s="59" t="str">
        <f t="shared" si="362"/>
        <v>-0.0318626198930713+0.142221671159758i</v>
      </c>
      <c r="BG373" s="50">
        <f t="shared" si="363"/>
        <v>-16.72799887143572</v>
      </c>
      <c r="BH373" s="61">
        <f t="shared" si="364"/>
        <v>102.62774172187201</v>
      </c>
      <c r="BI373" s="59" t="str">
        <f t="shared" si="365"/>
        <v>0.0275156520627719-0.024716354255002i</v>
      </c>
      <c r="BJ373" s="64">
        <f t="shared" si="366"/>
        <v>-28.639109577733311</v>
      </c>
      <c r="BK373" s="61">
        <f t="shared" si="367"/>
        <v>-41.932251575654057</v>
      </c>
      <c r="BL373" s="59" t="str">
        <f t="shared" si="371"/>
        <v>0.110553747735328-0.0109604460655188i</v>
      </c>
      <c r="BM373" s="64">
        <f t="shared" si="368"/>
        <v>-19.086052205079177</v>
      </c>
      <c r="BN373" s="61">
        <f t="shared" si="372"/>
        <v>-5.6618781967986926</v>
      </c>
      <c r="BO373" s="50">
        <f t="shared" si="369"/>
        <v>-28.639109577733311</v>
      </c>
      <c r="BP373" s="61">
        <f t="shared" si="370"/>
        <v>-41.932251575654057</v>
      </c>
    </row>
    <row r="374" spans="14:68" x14ac:dyDescent="0.25">
      <c r="N374" s="11">
        <v>56</v>
      </c>
      <c r="O374" s="51">
        <f t="shared" si="320"/>
        <v>36307.805477010232</v>
      </c>
      <c r="P374" s="49" t="str">
        <f t="shared" si="321"/>
        <v>37.1583961085025</v>
      </c>
      <c r="Q374" s="18" t="str">
        <f t="shared" si="322"/>
        <v>1+178.809514035207i</v>
      </c>
      <c r="R374" s="18">
        <f t="shared" si="334"/>
        <v>178.81231028513358</v>
      </c>
      <c r="S374" s="18">
        <f t="shared" si="335"/>
        <v>1.5652038415176077</v>
      </c>
      <c r="T374" s="18" t="str">
        <f t="shared" si="323"/>
        <v>1+0.205315802918177i</v>
      </c>
      <c r="U374" s="18">
        <f t="shared" si="336"/>
        <v>1.0208597253922478</v>
      </c>
      <c r="V374" s="18">
        <f t="shared" si="337"/>
        <v>0.2025016445921991</v>
      </c>
      <c r="W374" s="32" t="str">
        <f t="shared" si="324"/>
        <v>1-1.79710736061193i</v>
      </c>
      <c r="X374" s="18">
        <f t="shared" si="338"/>
        <v>2.0565978862105196</v>
      </c>
      <c r="Y374" s="18">
        <f t="shared" si="339"/>
        <v>-1.0630147574291271</v>
      </c>
      <c r="Z374" s="32" t="str">
        <f t="shared" si="325"/>
        <v>0.96704358153609+0.432684043927564i</v>
      </c>
      <c r="AA374" s="18">
        <f t="shared" si="340"/>
        <v>1.0594285112548454</v>
      </c>
      <c r="AB374" s="18">
        <f t="shared" si="341"/>
        <v>0.42071442884602805</v>
      </c>
      <c r="AC374" s="32" t="str">
        <f>IMDIV(IMSUM(COMPLEX(0,2*PI()*O374*Constants!$B$61*Constants!$B$62),COMPLEX(1,0)),IMSUM(COMPLEX(0,2*PI()*O374*Constants!$B$61*Constants!$B$62),COMPLEX(2,0)))</f>
        <v>0.586151215956503+0.188821545294671i</v>
      </c>
      <c r="AD374" s="18">
        <f t="shared" si="342"/>
        <v>0.61581395237096936</v>
      </c>
      <c r="AE374" s="18">
        <f t="shared" si="343"/>
        <v>0.31164108991390349</v>
      </c>
      <c r="AF374" s="66" t="str">
        <f t="shared" si="344"/>
        <v>-0.20832796081217-0.144614981544736i</v>
      </c>
      <c r="AG374" s="64">
        <f t="shared" si="345"/>
        <v>-11.916942616393003</v>
      </c>
      <c r="AH374" s="61">
        <f t="shared" si="346"/>
        <v>-145.2327857560538</v>
      </c>
      <c r="AI374" s="50" t="str">
        <f t="shared" si="326"/>
        <v>107.538871525172</v>
      </c>
      <c r="AJ374" s="50" t="str">
        <f t="shared" si="327"/>
        <v>1+169.985486182257i</v>
      </c>
      <c r="AK374" s="50">
        <f t="shared" si="347"/>
        <v>169.98842758440438</v>
      </c>
      <c r="AL374" s="50">
        <f t="shared" si="348"/>
        <v>1.5649135394657931</v>
      </c>
      <c r="AM374" s="50" t="str">
        <f t="shared" si="328"/>
        <v>1+0.205315802918177i</v>
      </c>
      <c r="AN374" s="50">
        <f t="shared" si="349"/>
        <v>1.0208597253922478</v>
      </c>
      <c r="AO374" s="50">
        <f t="shared" si="350"/>
        <v>0.2025016445921991</v>
      </c>
      <c r="AP374" s="50" t="str">
        <f t="shared" si="329"/>
        <v>1-0.590318520022193i</v>
      </c>
      <c r="AQ374" s="50">
        <f t="shared" si="351"/>
        <v>1.1612389741483844</v>
      </c>
      <c r="AR374" s="50">
        <f t="shared" si="352"/>
        <v>-0.53327035053085459</v>
      </c>
      <c r="AS374" s="59" t="str">
        <f t="shared" si="353"/>
        <v>-0.239385363084593-0.710720402640257i</v>
      </c>
      <c r="AT374" s="50">
        <f t="shared" si="354"/>
        <v>-2.4993241568632252</v>
      </c>
      <c r="AU374" s="61">
        <f t="shared" si="355"/>
        <v>-108.61459195955808</v>
      </c>
      <c r="AV374" s="32" t="str">
        <f t="shared" si="330"/>
        <v>-0.0000333333333333333</v>
      </c>
      <c r="AW374" s="32" t="str">
        <f t="shared" si="331"/>
        <v>0.0109501761556361i</v>
      </c>
      <c r="AX374" s="32">
        <f t="shared" si="356"/>
        <v>1.09501761556361E-2</v>
      </c>
      <c r="AY374" s="32">
        <f t="shared" si="357"/>
        <v>1.5707963267948966</v>
      </c>
      <c r="AZ374" s="32" t="str">
        <f t="shared" si="332"/>
        <v>1+4.46751978571959i</v>
      </c>
      <c r="BA374" s="32">
        <f t="shared" si="358"/>
        <v>4.5780708858422026</v>
      </c>
      <c r="BB374" s="32">
        <f t="shared" si="359"/>
        <v>1.3505883155130036</v>
      </c>
      <c r="BC374" s="32" t="str">
        <f t="shared" si="333"/>
        <v>1+214.44094971454i</v>
      </c>
      <c r="BD374" s="32">
        <f t="shared" si="360"/>
        <v>214.44328134607966</v>
      </c>
      <c r="BE374" s="32">
        <f t="shared" si="361"/>
        <v>1.5661330721661852</v>
      </c>
      <c r="BF374" s="59" t="str">
        <f t="shared" si="362"/>
        <v>-0.0304969885178206+0.139289990667545i</v>
      </c>
      <c r="BG374" s="50">
        <f t="shared" si="363"/>
        <v>-16.91824858635065</v>
      </c>
      <c r="BH374" s="61">
        <f t="shared" si="364"/>
        <v>102.34980485240168</v>
      </c>
      <c r="BI374" s="59" t="str">
        <f t="shared" si="365"/>
        <v>0.0264967948585832-0.0246076782856412i</v>
      </c>
      <c r="BJ374" s="64">
        <f t="shared" si="366"/>
        <v>-28.835191202743648</v>
      </c>
      <c r="BK374" s="61">
        <f t="shared" si="367"/>
        <v>-42.882980903652125</v>
      </c>
      <c r="BL374" s="59" t="str">
        <f t="shared" si="371"/>
        <v>0.10629677092032-0.0116691530312991i</v>
      </c>
      <c r="BM374" s="64">
        <f t="shared" si="368"/>
        <v>-19.41757274321391</v>
      </c>
      <c r="BN374" s="61">
        <f t="shared" si="372"/>
        <v>-6.2647871071564367</v>
      </c>
      <c r="BO374" s="50">
        <f t="shared" si="369"/>
        <v>-28.835191202743648</v>
      </c>
      <c r="BP374" s="61">
        <f t="shared" si="370"/>
        <v>-42.882980903652125</v>
      </c>
    </row>
    <row r="375" spans="14:68" x14ac:dyDescent="0.25">
      <c r="N375" s="11">
        <v>57</v>
      </c>
      <c r="O375" s="51">
        <f t="shared" si="320"/>
        <v>37153.522909717351</v>
      </c>
      <c r="P375" s="49" t="str">
        <f t="shared" si="321"/>
        <v>37.1583961085025</v>
      </c>
      <c r="Q375" s="18" t="str">
        <f t="shared" si="322"/>
        <v>1+182.974522665354i</v>
      </c>
      <c r="R375" s="18">
        <f t="shared" si="334"/>
        <v>182.97725526582295</v>
      </c>
      <c r="S375" s="18">
        <f t="shared" si="335"/>
        <v>1.5653311394599461</v>
      </c>
      <c r="T375" s="18" t="str">
        <f t="shared" si="323"/>
        <v>1+0.210098222330667i</v>
      </c>
      <c r="U375" s="18">
        <f t="shared" si="336"/>
        <v>1.0218323067052177</v>
      </c>
      <c r="V375" s="18">
        <f t="shared" si="337"/>
        <v>0.20708626604243091</v>
      </c>
      <c r="W375" s="32" t="str">
        <f t="shared" si="324"/>
        <v>1-1.83896736849035i</v>
      </c>
      <c r="X375" s="18">
        <f t="shared" si="338"/>
        <v>2.0932751807567782</v>
      </c>
      <c r="Y375" s="18">
        <f t="shared" si="339"/>
        <v>-1.0727384325517717</v>
      </c>
      <c r="Z375" s="32" t="str">
        <f t="shared" si="325"/>
        <v>0.965490393384928+0.442762550022774i</v>
      </c>
      <c r="AA375" s="18">
        <f t="shared" si="340"/>
        <v>1.0621724791300386</v>
      </c>
      <c r="AB375" s="18">
        <f t="shared" si="341"/>
        <v>0.4299729217060097</v>
      </c>
      <c r="AC375" s="32" t="str">
        <f>IMDIV(IMSUM(COMPLEX(0,2*PI()*O375*Constants!$B$61*Constants!$B$62),COMPLEX(1,0)),IMSUM(COMPLEX(0,2*PI()*O375*Constants!$B$61*Constants!$B$62),COMPLEX(2,0)))</f>
        <v>0.589484748993039+0.191663387724866i</v>
      </c>
      <c r="AD375" s="18">
        <f t="shared" si="342"/>
        <v>0.61986056778081844</v>
      </c>
      <c r="AE375" s="18">
        <f t="shared" si="343"/>
        <v>0.31435593614973711</v>
      </c>
      <c r="AF375" s="66" t="str">
        <f t="shared" si="344"/>
        <v>-0.209930352011082-0.142083049289098i</v>
      </c>
      <c r="AG375" s="64">
        <f t="shared" si="345"/>
        <v>-11.920704600798961</v>
      </c>
      <c r="AH375" s="61">
        <f t="shared" si="346"/>
        <v>-145.90944881119972</v>
      </c>
      <c r="AI375" s="50" t="str">
        <f t="shared" si="326"/>
        <v>107.538871525172</v>
      </c>
      <c r="AJ375" s="50" t="str">
        <f t="shared" si="327"/>
        <v>1+173.944956799741i</v>
      </c>
      <c r="AK375" s="50">
        <f t="shared" si="347"/>
        <v>173.94783124852046</v>
      </c>
      <c r="AL375" s="50">
        <f t="shared" si="348"/>
        <v>1.565047445069168</v>
      </c>
      <c r="AM375" s="50" t="str">
        <f t="shared" si="328"/>
        <v>1+0.210098222330667i</v>
      </c>
      <c r="AN375" s="50">
        <f t="shared" si="349"/>
        <v>1.0218323067052177</v>
      </c>
      <c r="AO375" s="50">
        <f t="shared" si="350"/>
        <v>0.20708626604243091</v>
      </c>
      <c r="AP375" s="50" t="str">
        <f t="shared" si="329"/>
        <v>1-0.604068804752256i</v>
      </c>
      <c r="AQ375" s="50">
        <f t="shared" si="351"/>
        <v>1.1682889714770139</v>
      </c>
      <c r="AR375" s="50">
        <f t="shared" si="352"/>
        <v>-0.54340589880935397</v>
      </c>
      <c r="AS375" s="59" t="str">
        <f t="shared" si="353"/>
        <v>-0.23955323466486-0.69807479271515i</v>
      </c>
      <c r="AT375" s="50">
        <f t="shared" si="354"/>
        <v>-2.6384727429181867</v>
      </c>
      <c r="AU375" s="61">
        <f t="shared" si="355"/>
        <v>-108.94030886513033</v>
      </c>
      <c r="AV375" s="32" t="str">
        <f t="shared" si="330"/>
        <v>-0.0000333333333333333</v>
      </c>
      <c r="AW375" s="32" t="str">
        <f t="shared" si="331"/>
        <v>0.0112052385243022i</v>
      </c>
      <c r="AX375" s="32">
        <f t="shared" si="356"/>
        <v>1.12052385243022E-2</v>
      </c>
      <c r="AY375" s="32">
        <f t="shared" si="357"/>
        <v>1.5707963267948966</v>
      </c>
      <c r="AZ375" s="32" t="str">
        <f t="shared" si="332"/>
        <v>1+4.57158168960247i</v>
      </c>
      <c r="BA375" s="32">
        <f t="shared" si="358"/>
        <v>4.679675111020912</v>
      </c>
      <c r="BB375" s="32">
        <f t="shared" si="359"/>
        <v>1.355445619222696</v>
      </c>
      <c r="BC375" s="32" t="str">
        <f t="shared" si="333"/>
        <v>1+219.435921100919i</v>
      </c>
      <c r="BD375" s="32">
        <f t="shared" si="360"/>
        <v>219.43819965860257</v>
      </c>
      <c r="BE375" s="32">
        <f t="shared" si="361"/>
        <v>1.5662392193142076</v>
      </c>
      <c r="BF375" s="59" t="str">
        <f t="shared" si="362"/>
        <v>-0.0291870751338943+0.136405897342307i</v>
      </c>
      <c r="BG375" s="50">
        <f t="shared" si="363"/>
        <v>-17.108916638492722</v>
      </c>
      <c r="BH375" s="61">
        <f t="shared" si="364"/>
        <v>102.07758363361214</v>
      </c>
      <c r="BI375" s="59" t="str">
        <f t="shared" si="365"/>
        <v>0.025508218792443-0.0244887494106043i</v>
      </c>
      <c r="BJ375" s="64">
        <f t="shared" si="366"/>
        <v>-29.029621239291682</v>
      </c>
      <c r="BK375" s="61">
        <f t="shared" si="367"/>
        <v>-43.831865177587545</v>
      </c>
      <c r="BL375" s="59" t="str">
        <f t="shared" si="371"/>
        <v>0.102213376771086-0.0123017125116577i</v>
      </c>
      <c r="BM375" s="64">
        <f t="shared" si="368"/>
        <v>-19.747389381410883</v>
      </c>
      <c r="BN375" s="61">
        <f t="shared" si="372"/>
        <v>-6.8627252315181799</v>
      </c>
      <c r="BO375" s="50">
        <f t="shared" si="369"/>
        <v>-29.029621239291682</v>
      </c>
      <c r="BP375" s="61">
        <f t="shared" si="370"/>
        <v>-43.831865177587545</v>
      </c>
    </row>
    <row r="376" spans="14:68" x14ac:dyDescent="0.25">
      <c r="N376" s="11">
        <v>58</v>
      </c>
      <c r="O376" s="51">
        <f t="shared" si="320"/>
        <v>38018.939632056143</v>
      </c>
      <c r="P376" s="49" t="str">
        <f t="shared" si="321"/>
        <v>37.1583961085025</v>
      </c>
      <c r="Q376" s="18" t="str">
        <f t="shared" si="322"/>
        <v>1+187.236546809373i</v>
      </c>
      <c r="R376" s="18">
        <f t="shared" si="334"/>
        <v>187.23921720915874</v>
      </c>
      <c r="S376" s="18">
        <f t="shared" si="335"/>
        <v>1.5654555399185048</v>
      </c>
      <c r="T376" s="18" t="str">
        <f t="shared" si="323"/>
        <v>1+0.214992038601615i</v>
      </c>
      <c r="U376" s="18">
        <f t="shared" si="336"/>
        <v>1.0228497331778887</v>
      </c>
      <c r="V376" s="18">
        <f t="shared" si="337"/>
        <v>0.21176855036490014</v>
      </c>
      <c r="W376" s="32" t="str">
        <f t="shared" si="324"/>
        <v>1-1.88180242120915i</v>
      </c>
      <c r="X376" s="18">
        <f t="shared" si="338"/>
        <v>2.1310045406963867</v>
      </c>
      <c r="Y376" s="18">
        <f t="shared" si="339"/>
        <v>-1.082341175001766</v>
      </c>
      <c r="Z376" s="32" t="str">
        <f t="shared" si="325"/>
        <v>0.963864005731352+0.453075814682662i</v>
      </c>
      <c r="AA376" s="18">
        <f t="shared" si="340"/>
        <v>1.0650406167817477</v>
      </c>
      <c r="AB376" s="18">
        <f t="shared" si="341"/>
        <v>0.43941164484716944</v>
      </c>
      <c r="AC376" s="32" t="str">
        <f>IMDIV(IMSUM(COMPLEX(0,2*PI()*O376*Constants!$B$61*Constants!$B$62),COMPLEX(1,0)),IMSUM(COMPLEX(0,2*PI()*O376*Constants!$B$61*Constants!$B$62),COMPLEX(2,0)))</f>
        <v>0.592918309063464+0.194487383581863i</v>
      </c>
      <c r="AD376" s="18">
        <f t="shared" si="342"/>
        <v>0.62400117275145894</v>
      </c>
      <c r="AE376" s="18">
        <f t="shared" si="343"/>
        <v>0.31695839791388558</v>
      </c>
      <c r="AF376" s="66" t="str">
        <f t="shared" si="344"/>
        <v>-0.211560154018596-0.139550213260681i</v>
      </c>
      <c r="AG376" s="64">
        <f t="shared" si="345"/>
        <v>-11.92248820208369</v>
      </c>
      <c r="AH376" s="61">
        <f t="shared" si="346"/>
        <v>-146.59018684097342</v>
      </c>
      <c r="AI376" s="50" t="str">
        <f t="shared" si="326"/>
        <v>107.538871525172</v>
      </c>
      <c r="AJ376" s="50" t="str">
        <f t="shared" si="327"/>
        <v>1+177.996655335753i</v>
      </c>
      <c r="AK376" s="50">
        <f t="shared" si="347"/>
        <v>177.99946435513465</v>
      </c>
      <c r="AL376" s="50">
        <f t="shared" si="348"/>
        <v>1.5651783028080952</v>
      </c>
      <c r="AM376" s="50" t="str">
        <f t="shared" si="328"/>
        <v>1+0.214992038601615i</v>
      </c>
      <c r="AN376" s="50">
        <f t="shared" si="349"/>
        <v>1.0228497331778887</v>
      </c>
      <c r="AO376" s="50">
        <f t="shared" si="350"/>
        <v>0.21176855036490014</v>
      </c>
      <c r="AP376" s="50" t="str">
        <f t="shared" si="329"/>
        <v>1-0.618139374758394i</v>
      </c>
      <c r="AQ376" s="50">
        <f t="shared" si="351"/>
        <v>1.1756259127063753</v>
      </c>
      <c r="AR376" s="50">
        <f t="shared" si="352"/>
        <v>-0.55365061333515919</v>
      </c>
      <c r="AS376" s="59" t="str">
        <f t="shared" si="353"/>
        <v>-0.239713551267588-0.685799224393056i</v>
      </c>
      <c r="AT376" s="50">
        <f t="shared" si="354"/>
        <v>-2.7754446861115638</v>
      </c>
      <c r="AU376" s="61">
        <f t="shared" si="355"/>
        <v>-109.26651023577479</v>
      </c>
      <c r="AV376" s="32" t="str">
        <f t="shared" si="330"/>
        <v>-0.0000333333333333333</v>
      </c>
      <c r="AW376" s="32" t="str">
        <f t="shared" si="331"/>
        <v>0.0114662420587528i</v>
      </c>
      <c r="AX376" s="32">
        <f t="shared" si="356"/>
        <v>1.1466242058752799E-2</v>
      </c>
      <c r="AY376" s="32">
        <f t="shared" si="357"/>
        <v>1.5707963267948966</v>
      </c>
      <c r="AZ376" s="32" t="str">
        <f t="shared" si="332"/>
        <v>1+4.67806750660921i</v>
      </c>
      <c r="BA376" s="32">
        <f t="shared" si="358"/>
        <v>4.7837553863458471</v>
      </c>
      <c r="BB376" s="32">
        <f t="shared" si="359"/>
        <v>1.3602023518190254</v>
      </c>
      <c r="BC376" s="32" t="str">
        <f t="shared" si="333"/>
        <v>1+224.547240317243i</v>
      </c>
      <c r="BD376" s="32">
        <f t="shared" si="360"/>
        <v>224.54946700914184</v>
      </c>
      <c r="BE376" s="32">
        <f t="shared" si="361"/>
        <v>1.5663429503573838</v>
      </c>
      <c r="BF376" s="59" t="str">
        <f t="shared" si="362"/>
        <v>-0.0279308436404141+0.133569456459227i</v>
      </c>
      <c r="BG376" s="50">
        <f t="shared" si="363"/>
        <v>-17.299985922578166</v>
      </c>
      <c r="BH376" s="61">
        <f t="shared" si="364"/>
        <v>101.8109862825486</v>
      </c>
      <c r="BI376" s="59" t="str">
        <f t="shared" si="365"/>
        <v>0.0245486997164337-0.0243602195941237i</v>
      </c>
      <c r="BJ376" s="64">
        <f t="shared" si="366"/>
        <v>-29.222474124661858</v>
      </c>
      <c r="BK376" s="61">
        <f t="shared" si="367"/>
        <v>-44.779200558424833</v>
      </c>
      <c r="BL376" s="59" t="str">
        <f t="shared" si="371"/>
        <v>0.0982972313612833-0.0128634578434831i</v>
      </c>
      <c r="BM376" s="64">
        <f t="shared" si="368"/>
        <v>-20.075430608689736</v>
      </c>
      <c r="BN376" s="61">
        <f t="shared" si="372"/>
        <v>-7.4555239532262227</v>
      </c>
      <c r="BO376" s="50">
        <f t="shared" si="369"/>
        <v>-29.222474124661858</v>
      </c>
      <c r="BP376" s="61">
        <f t="shared" si="370"/>
        <v>-44.779200558424833</v>
      </c>
    </row>
    <row r="377" spans="14:68" x14ac:dyDescent="0.25">
      <c r="N377" s="11">
        <v>59</v>
      </c>
      <c r="O377" s="51">
        <f t="shared" si="320"/>
        <v>38904.514499428085</v>
      </c>
      <c r="P377" s="49" t="str">
        <f t="shared" si="321"/>
        <v>37.1583961085025</v>
      </c>
      <c r="Q377" s="18" t="str">
        <f t="shared" si="322"/>
        <v>1+191.597846248879i</v>
      </c>
      <c r="R377" s="18">
        <f t="shared" si="334"/>
        <v>191.600455863782</v>
      </c>
      <c r="S377" s="18">
        <f t="shared" si="335"/>
        <v>1.5655771088366432</v>
      </c>
      <c r="T377" s="18" t="str">
        <f t="shared" si="323"/>
        <v>1+0.219999846497186i</v>
      </c>
      <c r="U377" s="18">
        <f t="shared" si="336"/>
        <v>1.023914025911739</v>
      </c>
      <c r="V377" s="18">
        <f t="shared" si="337"/>
        <v>0.21655015855981788</v>
      </c>
      <c r="W377" s="32" t="str">
        <f t="shared" si="324"/>
        <v>1-1.92563523048028i</v>
      </c>
      <c r="X377" s="18">
        <f t="shared" si="338"/>
        <v>2.1698089871845498</v>
      </c>
      <c r="Y377" s="18">
        <f t="shared" si="339"/>
        <v>-1.091820991522402</v>
      </c>
      <c r="Z377" s="32" t="str">
        <f t="shared" si="325"/>
        <v>0.962160968789095+0.463629306136661i</v>
      </c>
      <c r="AA377" s="18">
        <f t="shared" si="340"/>
        <v>1.0680383248600827</v>
      </c>
      <c r="AB377" s="18">
        <f t="shared" si="341"/>
        <v>0.44903262406330696</v>
      </c>
      <c r="AC377" s="32" t="str">
        <f>IMDIV(IMSUM(COMPLEX(0,2*PI()*O377*Constants!$B$61*Constants!$B$62),COMPLEX(1,0)),IMSUM(COMPLEX(0,2*PI()*O377*Constants!$B$61*Constants!$B$62),COMPLEX(2,0)))</f>
        <v>0.596452661394669+0.197289672327823i</v>
      </c>
      <c r="AD377" s="18">
        <f t="shared" si="342"/>
        <v>0.62823482241276907</v>
      </c>
      <c r="AE377" s="18">
        <f t="shared" si="343"/>
        <v>0.3194433328504131</v>
      </c>
      <c r="AF377" s="66" t="str">
        <f t="shared" si="344"/>
        <v>-0.213215884363885-0.137012500626249i</v>
      </c>
      <c r="AG377" s="64">
        <f t="shared" si="345"/>
        <v>-11.922388278425903</v>
      </c>
      <c r="AH377" s="61">
        <f t="shared" si="346"/>
        <v>-147.27520495487988</v>
      </c>
      <c r="AI377" s="50" t="str">
        <f t="shared" si="326"/>
        <v>107.538871525172</v>
      </c>
      <c r="AJ377" s="50" t="str">
        <f t="shared" si="327"/>
        <v>1+182.142730054489i</v>
      </c>
      <c r="AK377" s="50">
        <f t="shared" si="347"/>
        <v>182.145475133758</v>
      </c>
      <c r="AL377" s="50">
        <f t="shared" si="348"/>
        <v>1.5653061820471437</v>
      </c>
      <c r="AM377" s="50" t="str">
        <f t="shared" si="328"/>
        <v>1+0.219999846497186i</v>
      </c>
      <c r="AN377" s="50">
        <f t="shared" si="349"/>
        <v>1.023914025911739</v>
      </c>
      <c r="AO377" s="50">
        <f t="shared" si="350"/>
        <v>0.21655015855981788</v>
      </c>
      <c r="AP377" s="50" t="str">
        <f t="shared" si="329"/>
        <v>1-0.632537690443072i</v>
      </c>
      <c r="AQ377" s="50">
        <f t="shared" si="351"/>
        <v>1.1832598741743319</v>
      </c>
      <c r="AR377" s="50">
        <f t="shared" si="352"/>
        <v>-0.56400132376068157</v>
      </c>
      <c r="AS377" s="59" t="str">
        <f t="shared" si="353"/>
        <v>-0.239866652879824-0.673887194804478i</v>
      </c>
      <c r="AT377" s="50">
        <f t="shared" si="354"/>
        <v>-2.9101856534570847</v>
      </c>
      <c r="AU377" s="61">
        <f t="shared" si="355"/>
        <v>-109.59292322995005</v>
      </c>
      <c r="AV377" s="32" t="str">
        <f t="shared" si="330"/>
        <v>-0.0000333333333333333</v>
      </c>
      <c r="AW377" s="32" t="str">
        <f t="shared" si="331"/>
        <v>0.0117333251465166i</v>
      </c>
      <c r="AX377" s="32">
        <f t="shared" si="356"/>
        <v>1.17333251465166E-2</v>
      </c>
      <c r="AY377" s="32">
        <f t="shared" si="357"/>
        <v>1.5707963267948966</v>
      </c>
      <c r="AZ377" s="32" t="str">
        <f t="shared" si="332"/>
        <v>1+4.78703369692951i</v>
      </c>
      <c r="BA377" s="32">
        <f t="shared" si="358"/>
        <v>4.8903672270636909</v>
      </c>
      <c r="BB377" s="32">
        <f t="shared" si="359"/>
        <v>1.3648601739615351</v>
      </c>
      <c r="BC377" s="32" t="str">
        <f t="shared" si="333"/>
        <v>1+229.777617452617i</v>
      </c>
      <c r="BD377" s="32">
        <f t="shared" si="360"/>
        <v>229.77979345930569</v>
      </c>
      <c r="BE377" s="32">
        <f t="shared" si="361"/>
        <v>1.5664443202863514</v>
      </c>
      <c r="BF377" s="59" t="str">
        <f t="shared" si="362"/>
        <v>-0.0267263122060602+0.130780668198195i</v>
      </c>
      <c r="BG377" s="50">
        <f t="shared" si="363"/>
        <v>-17.491439961538251</v>
      </c>
      <c r="BH377" s="61">
        <f t="shared" si="364"/>
        <v>101.54992080115962</v>
      </c>
      <c r="BI377" s="59" t="str">
        <f t="shared" si="365"/>
        <v>0.0236170606762069-0.0242226769597078i</v>
      </c>
      <c r="BJ377" s="64">
        <f t="shared" si="366"/>
        <v>-29.413828239964147</v>
      </c>
      <c r="BK377" s="61">
        <f t="shared" si="367"/>
        <v>-45.725284153720246</v>
      </c>
      <c r="BL377" s="59" t="str">
        <f t="shared" si="371"/>
        <v>0.0945421686794257-0.0133594015820773i</v>
      </c>
      <c r="BM377" s="64">
        <f t="shared" si="368"/>
        <v>-20.401625614995332</v>
      </c>
      <c r="BN377" s="61">
        <f t="shared" si="372"/>
        <v>-8.043002428790432</v>
      </c>
      <c r="BO377" s="50">
        <f t="shared" si="369"/>
        <v>-29.413828239964147</v>
      </c>
      <c r="BP377" s="61">
        <f t="shared" si="370"/>
        <v>-45.725284153720246</v>
      </c>
    </row>
    <row r="378" spans="14:68" x14ac:dyDescent="0.25">
      <c r="N378" s="11">
        <v>60</v>
      </c>
      <c r="O378" s="51">
        <f t="shared" si="320"/>
        <v>39810.717055349742</v>
      </c>
      <c r="P378" s="49" t="str">
        <f t="shared" si="321"/>
        <v>37.1583961085025</v>
      </c>
      <c r="Q378" s="18" t="str">
        <f t="shared" si="322"/>
        <v>1+196.060733402563i</v>
      </c>
      <c r="R378" s="18">
        <f t="shared" si="334"/>
        <v>196.06328361616022</v>
      </c>
      <c r="S378" s="18">
        <f t="shared" si="335"/>
        <v>1.5656959106574297</v>
      </c>
      <c r="T378" s="18" t="str">
        <f t="shared" si="323"/>
        <v>1+0.225124301223412i</v>
      </c>
      <c r="U378" s="18">
        <f t="shared" si="336"/>
        <v>1.0250272928080157</v>
      </c>
      <c r="V378" s="18">
        <f t="shared" si="337"/>
        <v>0.22143275089175826</v>
      </c>
      <c r="W378" s="32" t="str">
        <f t="shared" si="324"/>
        <v>1-1.9704890370394i</v>
      </c>
      <c r="X378" s="18">
        <f t="shared" si="338"/>
        <v>2.2097119823842339</v>
      </c>
      <c r="Y378" s="18">
        <f t="shared" si="339"/>
        <v>-1.1011760922106988</v>
      </c>
      <c r="Z378" s="32" t="str">
        <f t="shared" si="325"/>
        <v>0.960377670188472+0.474428619985633i</v>
      </c>
      <c r="AA378" s="18">
        <f t="shared" si="340"/>
        <v>1.0711712210744415</v>
      </c>
      <c r="AB378" s="18">
        <f t="shared" si="341"/>
        <v>0.45883781502698789</v>
      </c>
      <c r="AC378" s="32" t="str">
        <f>IMDIV(IMSUM(COMPLEX(0,2*PI()*O378*Constants!$B$61*Constants!$B$62),COMPLEX(1,0)),IMSUM(COMPLEX(0,2*PI()*O378*Constants!$B$61*Constants!$B$62),COMPLEX(2,0)))</f>
        <v>0.600088396857833+0.200066267130033i</v>
      </c>
      <c r="AD378" s="18">
        <f t="shared" si="342"/>
        <v>0.6325603491262709</v>
      </c>
      <c r="AE378" s="18">
        <f t="shared" si="343"/>
        <v>0.32180574751562691</v>
      </c>
      <c r="AF378" s="66" t="str">
        <f t="shared" si="344"/>
        <v>-0.214895868127628-0.134465968366896i</v>
      </c>
      <c r="AG378" s="64">
        <f t="shared" si="345"/>
        <v>-11.920502848918492</v>
      </c>
      <c r="AH378" s="61">
        <f t="shared" si="346"/>
        <v>-147.96470732022783</v>
      </c>
      <c r="AI378" s="50" t="str">
        <f t="shared" si="326"/>
        <v>107.538871525172</v>
      </c>
      <c r="AJ378" s="50" t="str">
        <f t="shared" si="327"/>
        <v>1+186.385379259643i</v>
      </c>
      <c r="AK378" s="50">
        <f t="shared" si="347"/>
        <v>186.38806185418892</v>
      </c>
      <c r="AL378" s="50">
        <f t="shared" si="348"/>
        <v>1.5654311505728393</v>
      </c>
      <c r="AM378" s="50" t="str">
        <f t="shared" si="328"/>
        <v>1+0.225124301223412i</v>
      </c>
      <c r="AN378" s="50">
        <f t="shared" si="349"/>
        <v>1.0250272928080157</v>
      </c>
      <c r="AO378" s="50">
        <f t="shared" si="350"/>
        <v>0.22143275089175826</v>
      </c>
      <c r="AP378" s="50" t="str">
        <f t="shared" si="329"/>
        <v>1-0.647271385983847i</v>
      </c>
      <c r="AQ378" s="50">
        <f t="shared" si="351"/>
        <v>1.1912011782706775</v>
      </c>
      <c r="AR378" s="50">
        <f t="shared" si="352"/>
        <v>-0.57445464625715525</v>
      </c>
      <c r="AS378" s="59" t="str">
        <f t="shared" si="353"/>
        <v>-0.240012864190462-0.662332393445928i</v>
      </c>
      <c r="AT378" s="50">
        <f t="shared" si="354"/>
        <v>-3.0426414791800949</v>
      </c>
      <c r="AU378" s="61">
        <f t="shared" si="355"/>
        <v>-109.91926272627848</v>
      </c>
      <c r="AV378" s="32" t="str">
        <f t="shared" si="330"/>
        <v>-0.0000333333333333333</v>
      </c>
      <c r="AW378" s="32" t="str">
        <f t="shared" si="331"/>
        <v>0.0120066293985819i</v>
      </c>
      <c r="AX378" s="32">
        <f t="shared" si="356"/>
        <v>1.20066293985819E-2</v>
      </c>
      <c r="AY378" s="32">
        <f t="shared" si="357"/>
        <v>1.5707963267948966</v>
      </c>
      <c r="AZ378" s="32" t="str">
        <f t="shared" si="332"/>
        <v>1+4.89853803587979i</v>
      </c>
      <c r="BA378" s="32">
        <f t="shared" si="358"/>
        <v>4.9995674701878992</v>
      </c>
      <c r="BB378" s="32">
        <f t="shared" si="359"/>
        <v>1.369420746489449</v>
      </c>
      <c r="BC378" s="32" t="str">
        <f t="shared" si="333"/>
        <v>1+235.12982572223i</v>
      </c>
      <c r="BD378" s="32">
        <f t="shared" si="360"/>
        <v>235.13195219741243</v>
      </c>
      <c r="BE378" s="32">
        <f t="shared" si="361"/>
        <v>1.5665433828404507</v>
      </c>
      <c r="BF378" s="59" t="str">
        <f t="shared" si="362"/>
        <v>-0.0255715536219839+0.128039472095913i</v>
      </c>
      <c r="BG378" s="50">
        <f t="shared" si="363"/>
        <v>-17.683262889495953</v>
      </c>
      <c r="BH378" s="61">
        <f t="shared" si="364"/>
        <v>101.29429510940446</v>
      </c>
      <c r="BI378" s="59" t="str">
        <f t="shared" si="365"/>
        <v>0.0227121728195315-0.0240766497902284i</v>
      </c>
      <c r="BJ378" s="64">
        <f t="shared" si="366"/>
        <v>-29.603765738414438</v>
      </c>
      <c r="BK378" s="61">
        <f t="shared" si="367"/>
        <v>-46.67041221082345</v>
      </c>
      <c r="BL378" s="59" t="str">
        <f t="shared" si="371"/>
        <v>0.0909421918354515-0.0137942521125953i</v>
      </c>
      <c r="BM378" s="64">
        <f t="shared" si="368"/>
        <v>-20.725904368676048</v>
      </c>
      <c r="BN378" s="61">
        <f t="shared" si="372"/>
        <v>-8.6249676168740059</v>
      </c>
      <c r="BO378" s="50">
        <f t="shared" si="369"/>
        <v>-29.603765738414438</v>
      </c>
      <c r="BP378" s="61">
        <f t="shared" si="370"/>
        <v>-46.67041221082345</v>
      </c>
    </row>
    <row r="379" spans="14:68" x14ac:dyDescent="0.25">
      <c r="N379" s="11">
        <v>61</v>
      </c>
      <c r="O379" s="51">
        <f t="shared" si="320"/>
        <v>40738.027780411358</v>
      </c>
      <c r="P379" s="49" t="str">
        <f t="shared" si="321"/>
        <v>37.1583961085025</v>
      </c>
      <c r="Q379" s="18" t="str">
        <f t="shared" si="322"/>
        <v>1+200.627574552268i</v>
      </c>
      <c r="R379" s="18">
        <f t="shared" si="334"/>
        <v>200.63006671664604</v>
      </c>
      <c r="S379" s="18">
        <f t="shared" si="335"/>
        <v>1.56581200835774</v>
      </c>
      <c r="T379" s="18" t="str">
        <f t="shared" si="323"/>
        <v>1+0.230368119834019i</v>
      </c>
      <c r="U379" s="18">
        <f t="shared" si="336"/>
        <v>1.0261917319077662</v>
      </c>
      <c r="V379" s="18">
        <f t="shared" si="337"/>
        <v>0.22641798455531767</v>
      </c>
      <c r="W379" s="32" t="str">
        <f t="shared" si="324"/>
        <v>1-2.01638762296847i</v>
      </c>
      <c r="X379" s="18">
        <f t="shared" si="338"/>
        <v>2.2507374449411994</v>
      </c>
      <c r="Y379" s="18">
        <f t="shared" si="339"/>
        <v>-1.1104048864585534</v>
      </c>
      <c r="Z379" s="32" t="str">
        <f t="shared" si="325"/>
        <v>0.958510327314061+0.485479482168728i</v>
      </c>
      <c r="AA379" s="18">
        <f t="shared" si="340"/>
        <v>1.0744451475875931</v>
      </c>
      <c r="AB379" s="18">
        <f t="shared" si="341"/>
        <v>0.46882909699586867</v>
      </c>
      <c r="AC379" s="32" t="str">
        <f>IMDIV(IMSUM(COMPLEX(0,2*PI()*O379*Constants!$B$61*Constants!$B$62),COMPLEX(1,0)),IMSUM(COMPLEX(0,2*PI()*O379*Constants!$B$61*Constants!$B$62),COMPLEX(2,0)))</f>
        <v>0.603825919629257+0.202813062271066i</v>
      </c>
      <c r="AD379" s="18">
        <f t="shared" si="342"/>
        <v>0.63697635705250877</v>
      </c>
      <c r="AE379" s="18">
        <f t="shared" si="343"/>
        <v>0.32404081907415039</v>
      </c>
      <c r="AF379" s="66" t="str">
        <f t="shared" si="344"/>
        <v>-0.216598231890083-0.131906715517351i</v>
      </c>
      <c r="AG379" s="64">
        <f t="shared" si="345"/>
        <v>-11.916932925366803</v>
      </c>
      <c r="AH379" s="61">
        <f t="shared" si="346"/>
        <v>-148.65889546158388</v>
      </c>
      <c r="AI379" s="50" t="str">
        <f t="shared" si="326"/>
        <v>107.538871525172</v>
      </c>
      <c r="AJ379" s="50" t="str">
        <f t="shared" si="327"/>
        <v>1+190.726852459984i</v>
      </c>
      <c r="AK379" s="50">
        <f t="shared" si="347"/>
        <v>190.72947399207206</v>
      </c>
      <c r="AL379" s="50">
        <f t="shared" si="348"/>
        <v>1.5655532746295266</v>
      </c>
      <c r="AM379" s="50" t="str">
        <f t="shared" si="328"/>
        <v>1+0.230368119834019i</v>
      </c>
      <c r="AN379" s="50">
        <f t="shared" si="349"/>
        <v>1.0261917319077662</v>
      </c>
      <c r="AO379" s="50">
        <f t="shared" si="350"/>
        <v>0.22641798455531767</v>
      </c>
      <c r="AP379" s="50" t="str">
        <f t="shared" si="329"/>
        <v>1-0.662348273381122i</v>
      </c>
      <c r="AQ379" s="50">
        <f t="shared" si="351"/>
        <v>1.1994603933648471</v>
      </c>
      <c r="AR379" s="50">
        <f t="shared" si="352"/>
        <v>-0.58500698501932358</v>
      </c>
      <c r="AS379" s="59" t="str">
        <f t="shared" si="353"/>
        <v>-0.24015249527843-0.651128698859852i</v>
      </c>
      <c r="AT379" s="50">
        <f t="shared" si="354"/>
        <v>-3.1727582609550904</v>
      </c>
      <c r="AU379" s="61">
        <f t="shared" si="355"/>
        <v>-110.24523154555965</v>
      </c>
      <c r="AV379" s="32" t="str">
        <f t="shared" si="330"/>
        <v>-0.0000333333333333333</v>
      </c>
      <c r="AW379" s="32" t="str">
        <f t="shared" si="331"/>
        <v>0.012286299724481i</v>
      </c>
      <c r="AX379" s="32">
        <f t="shared" si="356"/>
        <v>1.2286299724481E-2</v>
      </c>
      <c r="AY379" s="32">
        <f t="shared" si="357"/>
        <v>1.5707963267948966</v>
      </c>
      <c r="AZ379" s="32" t="str">
        <f t="shared" si="332"/>
        <v>1+5.01263964453652i</v>
      </c>
      <c r="BA379" s="32">
        <f t="shared" si="358"/>
        <v>5.1114143058432671</v>
      </c>
      <c r="BB379" s="32">
        <f t="shared" si="359"/>
        <v>1.3738857282854329</v>
      </c>
      <c r="BC379" s="32" t="str">
        <f t="shared" si="333"/>
        <v>1+240.606702937753i</v>
      </c>
      <c r="BD379" s="32">
        <f t="shared" si="360"/>
        <v>240.60878100887368</v>
      </c>
      <c r="BE379" s="32">
        <f t="shared" si="361"/>
        <v>1.5666401905361773</v>
      </c>
      <c r="BF379" s="59" t="str">
        <f t="shared" si="362"/>
        <v>-0.0244646954501589+0.125345751317361i</v>
      </c>
      <c r="BG379" s="50">
        <f t="shared" si="363"/>
        <v>-17.875439434664052</v>
      </c>
      <c r="BH379" s="61">
        <f t="shared" si="364"/>
        <v>101.04401716928139</v>
      </c>
      <c r="BI379" s="59" t="str">
        <f t="shared" si="365"/>
        <v>0.0218329561385615-0.0239226104873117i</v>
      </c>
      <c r="BJ379" s="64">
        <f t="shared" si="366"/>
        <v>-29.792372360030864</v>
      </c>
      <c r="BK379" s="61">
        <f t="shared" si="367"/>
        <v>-47.614878292302535</v>
      </c>
      <c r="BL379" s="59" t="str">
        <f t="shared" si="371"/>
        <v>0.0874914736214664-0.0141724296349493i</v>
      </c>
      <c r="BM379" s="64">
        <f t="shared" si="368"/>
        <v>-21.048197695619141</v>
      </c>
      <c r="BN379" s="61">
        <f t="shared" si="372"/>
        <v>-9.2012143762782621</v>
      </c>
      <c r="BO379" s="50">
        <f t="shared" si="369"/>
        <v>-29.792372360030864</v>
      </c>
      <c r="BP379" s="61">
        <f t="shared" si="370"/>
        <v>-47.614878292302535</v>
      </c>
    </row>
    <row r="380" spans="14:68" x14ac:dyDescent="0.25">
      <c r="N380" s="11">
        <v>62</v>
      </c>
      <c r="O380" s="51">
        <f t="shared" si="320"/>
        <v>41686.938347033625</v>
      </c>
      <c r="P380" s="49" t="str">
        <f t="shared" si="321"/>
        <v>37.1583961085025</v>
      </c>
      <c r="Q380" s="18" t="str">
        <f t="shared" si="322"/>
        <v>1+205.300791097621i</v>
      </c>
      <c r="R380" s="18">
        <f t="shared" si="334"/>
        <v>205.30322653409277</v>
      </c>
      <c r="S380" s="18">
        <f t="shared" si="335"/>
        <v>1.5659254634815862</v>
      </c>
      <c r="T380" s="18" t="str">
        <f t="shared" si="323"/>
        <v>1+0.235734082671045i</v>
      </c>
      <c r="U380" s="18">
        <f t="shared" si="336"/>
        <v>1.0274096348257393</v>
      </c>
      <c r="V380" s="18">
        <f t="shared" si="337"/>
        <v>0.23150751117487114</v>
      </c>
      <c r="W380" s="32" t="str">
        <f t="shared" si="324"/>
        <v>1-2.06335532430529i</v>
      </c>
      <c r="X380" s="18">
        <f t="shared" si="338"/>
        <v>2.2929097658518938</v>
      </c>
      <c r="Y380" s="18">
        <f t="shared" si="339"/>
        <v>-1.1195059783825585</v>
      </c>
      <c r="Z380" s="32" t="str">
        <f t="shared" si="325"/>
        <v>0.956554979281266+0.496787751999349i</v>
      </c>
      <c r="AA380" s="18">
        <f t="shared" si="340"/>
        <v>1.0778661785789319</v>
      </c>
      <c r="AB380" s="18">
        <f t="shared" si="341"/>
        <v>0.47900826636300819</v>
      </c>
      <c r="AC380" s="32" t="str">
        <f>IMDIV(IMSUM(COMPLEX(0,2*PI()*O380*Constants!$B$61*Constants!$B$62),COMPLEX(1,0)),IMSUM(COMPLEX(0,2*PI()*O380*Constants!$B$61*Constants!$B$62),COMPLEX(2,0)))</f>
        <v>0.607665435028633+0.205525841719263i</v>
      </c>
      <c r="AD380" s="18">
        <f t="shared" si="342"/>
        <v>0.64148121760730403</v>
      </c>
      <c r="AE380" s="18">
        <f t="shared" si="343"/>
        <v>0.32614391672883158</v>
      </c>
      <c r="AF380" s="66" t="str">
        <f t="shared" si="344"/>
        <v>-0.218320898476098-0.129330896403999i</v>
      </c>
      <c r="AG380" s="64">
        <f t="shared" si="345"/>
        <v>-11.911782330582664</v>
      </c>
      <c r="AH380" s="61">
        <f t="shared" si="346"/>
        <v>-149.3579665466994</v>
      </c>
      <c r="AI380" s="50" t="str">
        <f t="shared" si="326"/>
        <v>107.538871525172</v>
      </c>
      <c r="AJ380" s="50" t="str">
        <f t="shared" si="327"/>
        <v>1+195.169451562067i</v>
      </c>
      <c r="AK380" s="50">
        <f t="shared" si="347"/>
        <v>195.1720134215918</v>
      </c>
      <c r="AL380" s="50">
        <f t="shared" si="348"/>
        <v>1.565672618954417</v>
      </c>
      <c r="AM380" s="50" t="str">
        <f t="shared" si="328"/>
        <v>1+0.235734082671045i</v>
      </c>
      <c r="AN380" s="50">
        <f t="shared" si="349"/>
        <v>1.0274096348257393</v>
      </c>
      <c r="AO380" s="50">
        <f t="shared" si="350"/>
        <v>0.23150751117487114</v>
      </c>
      <c r="AP380" s="50" t="str">
        <f t="shared" si="329"/>
        <v>1-0.677776346600161i</v>
      </c>
      <c r="AQ380" s="50">
        <f t="shared" si="351"/>
        <v>1.20804833347456</v>
      </c>
      <c r="AR380" s="50">
        <f t="shared" si="352"/>
        <v>-0.59565453469179108</v>
      </c>
      <c r="AS380" s="59" t="str">
        <f t="shared" si="353"/>
        <v>-0.240285842269955-0.640270175413043i</v>
      </c>
      <c r="AT380" s="50">
        <f t="shared" si="354"/>
        <v>-3.3004824573459581</v>
      </c>
      <c r="AU380" s="61">
        <f t="shared" si="355"/>
        <v>-110.57052073505317</v>
      </c>
      <c r="AV380" s="32" t="str">
        <f t="shared" si="330"/>
        <v>-0.0000333333333333333</v>
      </c>
      <c r="AW380" s="32" t="str">
        <f t="shared" si="331"/>
        <v>0.0125724844091224i</v>
      </c>
      <c r="AX380" s="32">
        <f t="shared" si="356"/>
        <v>1.2572484409122399E-2</v>
      </c>
      <c r="AY380" s="32">
        <f t="shared" si="357"/>
        <v>1.5707963267948966</v>
      </c>
      <c r="AZ380" s="32" t="str">
        <f t="shared" si="332"/>
        <v>1+5.12939902108292i</v>
      </c>
      <c r="BA380" s="32">
        <f t="shared" si="358"/>
        <v>5.2259673092630816</v>
      </c>
      <c r="BB380" s="32">
        <f t="shared" si="359"/>
        <v>1.3782567742906209</v>
      </c>
      <c r="BC380" s="32" t="str">
        <f t="shared" si="333"/>
        <v>1+246.211153011981i</v>
      </c>
      <c r="BD380" s="32">
        <f t="shared" si="360"/>
        <v>246.21318378082256</v>
      </c>
      <c r="BE380" s="32">
        <f t="shared" si="361"/>
        <v>1.566734794694991</v>
      </c>
      <c r="BF380" s="59" t="str">
        <f t="shared" si="362"/>
        <v>-0.0234039199865633+0.122699336745758i</v>
      </c>
      <c r="BG380" s="50">
        <f t="shared" si="363"/>
        <v>-18.067954902224276</v>
      </c>
      <c r="BH380" s="61">
        <f t="shared" si="364"/>
        <v>100.798995100151</v>
      </c>
      <c r="BI380" s="59" t="str">
        <f t="shared" si="365"/>
        <v>0.0209783800488342-0.0237609794895255i</v>
      </c>
      <c r="BJ380" s="64">
        <f t="shared" si="366"/>
        <v>-29.97973723280694</v>
      </c>
      <c r="BK380" s="61">
        <f t="shared" si="367"/>
        <v>-48.558971446548433</v>
      </c>
      <c r="BL380" s="59" t="str">
        <f t="shared" si="371"/>
        <v>0.0841843564876605-0.0144980815207696i</v>
      </c>
      <c r="BM380" s="64">
        <f t="shared" si="368"/>
        <v>-21.36843735957023</v>
      </c>
      <c r="BN380" s="61">
        <f t="shared" si="372"/>
        <v>-9.7715256349021509</v>
      </c>
      <c r="BO380" s="50">
        <f t="shared" si="369"/>
        <v>-29.97973723280694</v>
      </c>
      <c r="BP380" s="61">
        <f t="shared" si="370"/>
        <v>-48.558971446548433</v>
      </c>
    </row>
    <row r="381" spans="14:68" x14ac:dyDescent="0.25">
      <c r="N381" s="11">
        <v>63</v>
      </c>
      <c r="O381" s="51">
        <f t="shared" si="320"/>
        <v>42657.951880159271</v>
      </c>
      <c r="P381" s="49" t="str">
        <f t="shared" si="321"/>
        <v>37.1583961085025</v>
      </c>
      <c r="Q381" s="18" t="str">
        <f t="shared" si="322"/>
        <v>1+210.08286083989i</v>
      </c>
      <c r="R381" s="18">
        <f t="shared" si="334"/>
        <v>210.08524083969485</v>
      </c>
      <c r="S381" s="18">
        <f t="shared" si="335"/>
        <v>1.5660363361726861</v>
      </c>
      <c r="T381" s="18" t="str">
        <f t="shared" si="323"/>
        <v>1+0.241225034839012i</v>
      </c>
      <c r="U381" s="18">
        <f t="shared" si="336"/>
        <v>1.0286833902776318</v>
      </c>
      <c r="V381" s="18">
        <f t="shared" si="337"/>
        <v>0.23670297413207458</v>
      </c>
      <c r="W381" s="32" t="str">
        <f t="shared" si="324"/>
        <v>1-2.11141704394678i</v>
      </c>
      <c r="X381" s="18">
        <f t="shared" si="338"/>
        <v>2.3362538247093267</v>
      </c>
      <c r="Y381" s="18">
        <f t="shared" si="339"/>
        <v>-1.1284781617978286</v>
      </c>
      <c r="Z381" s="32" t="str">
        <f t="shared" si="325"/>
        <v>0.95450747853475+0.508359425271843i</v>
      </c>
      <c r="AA381" s="18">
        <f t="shared" si="340"/>
        <v>1.0814406279780155</v>
      </c>
      <c r="AB381" s="18">
        <f t="shared" si="341"/>
        <v>0.48937703006889816</v>
      </c>
      <c r="AC381" s="32" t="str">
        <f>IMDIV(IMSUM(COMPLEX(0,2*PI()*O381*Constants!$B$61*Constants!$B$62),COMPLEX(1,0)),IMSUM(COMPLEX(0,2*PI()*O381*Constants!$B$61*Constants!$B$62),COMPLEX(2,0)))</f>
        <v>0.61160693764378+0.208200288884688i</v>
      </c>
      <c r="AD381" s="18">
        <f t="shared" si="342"/>
        <v>0.64607306588780677</v>
      </c>
      <c r="AE381" s="18">
        <f t="shared" si="343"/>
        <v>0.32811062272621216</v>
      </c>
      <c r="AF381" s="66" t="str">
        <f t="shared" si="344"/>
        <v>-0.220061582623515-0.126734734847724i</v>
      </c>
      <c r="AG381" s="64">
        <f t="shared" si="345"/>
        <v>-11.905157503266459</v>
      </c>
      <c r="AH381" s="61">
        <f t="shared" si="346"/>
        <v>-150.06211167253352</v>
      </c>
      <c r="AI381" s="50" t="str">
        <f t="shared" si="326"/>
        <v>107.538871525172</v>
      </c>
      <c r="AJ381" s="50" t="str">
        <f t="shared" si="327"/>
        <v>1+199.715532090741i</v>
      </c>
      <c r="AK381" s="50">
        <f t="shared" si="347"/>
        <v>199.71803563596302</v>
      </c>
      <c r="AL381" s="50">
        <f t="shared" si="348"/>
        <v>1.5657892468118451</v>
      </c>
      <c r="AM381" s="50" t="str">
        <f t="shared" si="328"/>
        <v>1+0.241225034839012i</v>
      </c>
      <c r="AN381" s="50">
        <f t="shared" si="349"/>
        <v>1.0286833902776318</v>
      </c>
      <c r="AO381" s="50">
        <f t="shared" si="350"/>
        <v>0.23670297413207458</v>
      </c>
      <c r="AP381" s="50" t="str">
        <f t="shared" si="329"/>
        <v>1-0.693563785809596i</v>
      </c>
      <c r="AQ381" s="50">
        <f t="shared" si="351"/>
        <v>1.2169760576882929</v>
      </c>
      <c r="AR381" s="50">
        <f t="shared" si="352"/>
        <v>-0.60639328374558188</v>
      </c>
      <c r="AS381" s="59" t="str">
        <f t="shared" si="353"/>
        <v>-0.240413187966247-0.629751070171993i</v>
      </c>
      <c r="AT381" s="50">
        <f t="shared" si="354"/>
        <v>-3.425760985878485</v>
      </c>
      <c r="AU381" s="61">
        <f t="shared" si="355"/>
        <v>-110.89480991702536</v>
      </c>
      <c r="AV381" s="32" t="str">
        <f t="shared" si="330"/>
        <v>-0.0000333333333333333</v>
      </c>
      <c r="AW381" s="32" t="str">
        <f t="shared" si="331"/>
        <v>0.0128653351914139i</v>
      </c>
      <c r="AX381" s="32">
        <f t="shared" si="356"/>
        <v>1.2865335191413901E-2</v>
      </c>
      <c r="AY381" s="32">
        <f t="shared" si="357"/>
        <v>1.5707963267948966</v>
      </c>
      <c r="AZ381" s="32" t="str">
        <f t="shared" si="332"/>
        <v>1+5.24887807288591i</v>
      </c>
      <c r="BA381" s="32">
        <f t="shared" si="358"/>
        <v>5.3432874734588722</v>
      </c>
      <c r="BB381" s="32">
        <f t="shared" si="359"/>
        <v>1.3825355336643608</v>
      </c>
      <c r="BC381" s="32" t="str">
        <f t="shared" si="333"/>
        <v>1+251.946147498524i</v>
      </c>
      <c r="BD381" s="32">
        <f t="shared" si="360"/>
        <v>251.94813204179152</v>
      </c>
      <c r="BE381" s="32">
        <f t="shared" si="361"/>
        <v>1.5668272454704912</v>
      </c>
      <c r="BF381" s="59" t="str">
        <f t="shared" si="362"/>
        <v>-0.0223874640574906+0.120100010891222i</v>
      </c>
      <c r="BG381" s="50">
        <f t="shared" si="363"/>
        <v>-18.260795157245116</v>
      </c>
      <c r="BH381" s="61">
        <f t="shared" si="364"/>
        <v>100.5591372857325</v>
      </c>
      <c r="BI381" s="59" t="str">
        <f t="shared" si="365"/>
        <v>0.0201474638069262-0.0235921291485847i</v>
      </c>
      <c r="BJ381" s="64">
        <f t="shared" si="366"/>
        <v>-30.165952660511572</v>
      </c>
      <c r="BK381" s="61">
        <f t="shared" si="367"/>
        <v>-49.502974386801064</v>
      </c>
      <c r="BL381" s="59" t="str">
        <f t="shared" si="371"/>
        <v>0.0810153519909562-0.0147750970444979i</v>
      </c>
      <c r="BM381" s="64">
        <f t="shared" si="368"/>
        <v>-21.686556143123596</v>
      </c>
      <c r="BN381" s="61">
        <f t="shared" si="372"/>
        <v>-10.335672631292816</v>
      </c>
      <c r="BO381" s="50">
        <f t="shared" si="369"/>
        <v>-30.165952660511572</v>
      </c>
      <c r="BP381" s="61">
        <f t="shared" si="370"/>
        <v>-49.502974386801064</v>
      </c>
    </row>
    <row r="382" spans="14:68" x14ac:dyDescent="0.25">
      <c r="N382" s="11">
        <v>64</v>
      </c>
      <c r="O382" s="51">
        <f t="shared" si="320"/>
        <v>43651.583224016598</v>
      </c>
      <c r="P382" s="49" t="str">
        <f t="shared" si="321"/>
        <v>37.1583961085025</v>
      </c>
      <c r="Q382" s="18" t="str">
        <f t="shared" si="322"/>
        <v>1+214.976319295752i</v>
      </c>
      <c r="R382" s="18">
        <f t="shared" si="334"/>
        <v>214.97864512074008</v>
      </c>
      <c r="S382" s="18">
        <f t="shared" si="335"/>
        <v>1.566144685206299</v>
      </c>
      <c r="T382" s="18" t="str">
        <f t="shared" si="323"/>
        <v>1+0.246843887713441i</v>
      </c>
      <c r="U382" s="18">
        <f t="shared" si="336"/>
        <v>1.030015487699814</v>
      </c>
      <c r="V382" s="18">
        <f t="shared" si="337"/>
        <v>0.24200600571494127</v>
      </c>
      <c r="W382" s="32" t="str">
        <f t="shared" si="324"/>
        <v>1-2.16059826485289i</v>
      </c>
      <c r="X382" s="18">
        <f t="shared" si="338"/>
        <v>2.3807950063130843</v>
      </c>
      <c r="Y382" s="18">
        <f t="shared" si="339"/>
        <v>-1.1373204147905187</v>
      </c>
      <c r="Z382" s="32" t="str">
        <f t="shared" si="325"/>
        <v>0.952363482050919+0.520200637440548i</v>
      </c>
      <c r="AA382" s="18">
        <f t="shared" si="340"/>
        <v>1.0851750573698713</v>
      </c>
      <c r="AB382" s="18">
        <f t="shared" si="341"/>
        <v>0.49993699889549076</v>
      </c>
      <c r="AC382" s="32" t="str">
        <f>IMDIV(IMSUM(COMPLEX(0,2*PI()*O382*Constants!$B$61*Constants!$B$62),COMPLEX(1,0)),IMSUM(COMPLEX(0,2*PI()*O382*Constants!$B$61*Constants!$B$62),COMPLEX(2,0)))</f>
        <v>0.615650199857668+0.210831997575594i</v>
      </c>
      <c r="AD382" s="18">
        <f t="shared" si="342"/>
        <v>0.65074979814557132</v>
      </c>
      <c r="AE382" s="18">
        <f t="shared" si="343"/>
        <v>0.32993675277849754</v>
      </c>
      <c r="AF382" s="66" t="str">
        <f t="shared" si="344"/>
        <v>-0.221817787703617-0.124114539282604i</v>
      </c>
      <c r="AG382" s="64">
        <f t="shared" si="345"/>
        <v>-11.897167289673865</v>
      </c>
      <c r="AH382" s="61">
        <f t="shared" si="346"/>
        <v>-150.77151416513476</v>
      </c>
      <c r="AI382" s="50" t="str">
        <f t="shared" si="326"/>
        <v>107.538871525172</v>
      </c>
      <c r="AJ382" s="50" t="str">
        <f t="shared" si="327"/>
        <v>1+204.367504438077i</v>
      </c>
      <c r="AK382" s="50">
        <f t="shared" si="347"/>
        <v>204.36995099634248</v>
      </c>
      <c r="AL382" s="50">
        <f t="shared" si="348"/>
        <v>1.5659032200267462</v>
      </c>
      <c r="AM382" s="50" t="str">
        <f t="shared" si="328"/>
        <v>1+0.246843887713441i</v>
      </c>
      <c r="AN382" s="50">
        <f t="shared" si="349"/>
        <v>1.030015487699814</v>
      </c>
      <c r="AO382" s="50">
        <f t="shared" si="350"/>
        <v>0.24200600571494127</v>
      </c>
      <c r="AP382" s="50" t="str">
        <f t="shared" si="329"/>
        <v>1-0.709718961718668i</v>
      </c>
      <c r="AQ382" s="50">
        <f t="shared" si="351"/>
        <v>1.2262548693575182</v>
      </c>
      <c r="AR382" s="50">
        <f t="shared" si="352"/>
        <v>-0.61721901882679575</v>
      </c>
      <c r="AS382" s="59" t="str">
        <f t="shared" si="353"/>
        <v>-0.240534802442986-0.619565809873606i</v>
      </c>
      <c r="AT382" s="50">
        <f t="shared" si="354"/>
        <v>-3.5485413211437651</v>
      </c>
      <c r="AU382" s="61">
        <f t="shared" si="355"/>
        <v>-111.21776770317412</v>
      </c>
      <c r="AV382" s="32" t="str">
        <f t="shared" si="330"/>
        <v>-0.0000333333333333333</v>
      </c>
      <c r="AW382" s="32" t="str">
        <f t="shared" si="331"/>
        <v>0.0131650073447169i</v>
      </c>
      <c r="AX382" s="32">
        <f t="shared" si="356"/>
        <v>1.31650073447169E-2</v>
      </c>
      <c r="AY382" s="32">
        <f t="shared" si="357"/>
        <v>1.5707963267948966</v>
      </c>
      <c r="AZ382" s="32" t="str">
        <f t="shared" si="332"/>
        <v>1+5.37114014932025i</v>
      </c>
      <c r="BA382" s="32">
        <f t="shared" si="358"/>
        <v>5.463437242582728</v>
      </c>
      <c r="BB382" s="32">
        <f t="shared" si="359"/>
        <v>1.3867236480821516</v>
      </c>
      <c r="BC382" s="32" t="str">
        <f t="shared" si="333"/>
        <v>1+257.814727167373i</v>
      </c>
      <c r="BD382" s="32">
        <f t="shared" si="360"/>
        <v>257.81666653726438</v>
      </c>
      <c r="BE382" s="32">
        <f t="shared" si="361"/>
        <v>1.5669175918749778</v>
      </c>
      <c r="BF382" s="59" t="str">
        <f t="shared" si="362"/>
        <v>-0.0214136186662086+0.117547511619386i</v>
      </c>
      <c r="BG382" s="50">
        <f t="shared" si="363"/>
        <v>-18.453946607686188</v>
      </c>
      <c r="BH382" s="61">
        <f t="shared" si="364"/>
        <v>100.32435247314643</v>
      </c>
      <c r="BI382" s="59" t="str">
        <f t="shared" si="365"/>
        <v>0.0193392767677239-0.0234163875623476i</v>
      </c>
      <c r="BJ382" s="64">
        <f t="shared" si="366"/>
        <v>-30.351113897360044</v>
      </c>
      <c r="BK382" s="61">
        <f t="shared" si="367"/>
        <v>-50.44716169198837</v>
      </c>
      <c r="BL382" s="59" t="str">
        <f t="shared" si="371"/>
        <v>0.0779791397705579-0.0150071214937795i</v>
      </c>
      <c r="BM382" s="64">
        <f t="shared" si="368"/>
        <v>-22.002487928829957</v>
      </c>
      <c r="BN382" s="61">
        <f t="shared" si="372"/>
        <v>-10.89341523002768</v>
      </c>
      <c r="BO382" s="50">
        <f t="shared" si="369"/>
        <v>-30.351113897360044</v>
      </c>
      <c r="BP382" s="61">
        <f t="shared" si="370"/>
        <v>-50.44716169198837</v>
      </c>
    </row>
    <row r="383" spans="14:68" x14ac:dyDescent="0.25">
      <c r="N383" s="11">
        <v>65</v>
      </c>
      <c r="O383" s="51">
        <f t="shared" si="320"/>
        <v>44668.359215096389</v>
      </c>
      <c r="P383" s="49" t="str">
        <f t="shared" si="321"/>
        <v>37.1583961085025</v>
      </c>
      <c r="Q383" s="18" t="str">
        <f t="shared" si="322"/>
        <v>1+219.983761041654i</v>
      </c>
      <c r="R383" s="18">
        <f t="shared" si="334"/>
        <v>219.98603392495517</v>
      </c>
      <c r="S383" s="18">
        <f t="shared" si="335"/>
        <v>1.5662505680203347</v>
      </c>
      <c r="T383" s="18" t="str">
        <f t="shared" si="323"/>
        <v>1+0.252593620484503i</v>
      </c>
      <c r="U383" s="18">
        <f t="shared" si="336"/>
        <v>1.0314085209602784</v>
      </c>
      <c r="V383" s="18">
        <f t="shared" si="337"/>
        <v>0.24741822408254402</v>
      </c>
      <c r="W383" s="32" t="str">
        <f t="shared" si="324"/>
        <v>1-2.21092506355792i</v>
      </c>
      <c r="X383" s="18">
        <f t="shared" si="338"/>
        <v>2.4265592176307158</v>
      </c>
      <c r="Y383" s="18">
        <f t="shared" si="339"/>
        <v>-1.1460318939425815</v>
      </c>
      <c r="Z383" s="32" t="str">
        <f t="shared" si="325"/>
        <v>0.950118442125778+0.532317666872896i</v>
      </c>
      <c r="AA383" s="18">
        <f t="shared" si="340"/>
        <v>1.0890762840740398</v>
      </c>
      <c r="AB383" s="18">
        <f t="shared" si="341"/>
        <v>0.5106896806651755</v>
      </c>
      <c r="AC383" s="32" t="str">
        <f>IMDIV(IMSUM(COMPLEX(0,2*PI()*O383*Constants!$B$61*Constants!$B$62),COMPLEX(1,0)),IMSUM(COMPLEX(0,2*PI()*O383*Constants!$B$61*Constants!$B$62),COMPLEX(2,0)))</f>
        <v>0.619794760899553+0.213416484159016i</v>
      </c>
      <c r="AD383" s="18">
        <f t="shared" si="342"/>
        <v>0.65550907037914397</v>
      </c>
      <c r="AE383" s="18">
        <f t="shared" si="343"/>
        <v>0.33161837574375036</v>
      </c>
      <c r="AF383" s="66" t="str">
        <f t="shared" si="344"/>
        <v>-0.22358680362293-0.121466718725396i</v>
      </c>
      <c r="AG383" s="64">
        <f t="shared" si="345"/>
        <v>-11.887922722370231</v>
      </c>
      <c r="AH383" s="61">
        <f t="shared" si="346"/>
        <v>-151.48634790717327</v>
      </c>
      <c r="AI383" s="50" t="str">
        <f t="shared" si="326"/>
        <v>107.538871525172</v>
      </c>
      <c r="AJ383" s="50" t="str">
        <f t="shared" si="327"/>
        <v>1+209.127835141391i</v>
      </c>
      <c r="AK383" s="50">
        <f t="shared" si="347"/>
        <v>209.13022600983533</v>
      </c>
      <c r="AL383" s="50">
        <f t="shared" si="348"/>
        <v>1.5660145990173766</v>
      </c>
      <c r="AM383" s="50" t="str">
        <f t="shared" si="328"/>
        <v>1+0.252593620484503i</v>
      </c>
      <c r="AN383" s="50">
        <f t="shared" si="349"/>
        <v>1.0314085209602784</v>
      </c>
      <c r="AO383" s="50">
        <f t="shared" si="350"/>
        <v>0.24741822408254402</v>
      </c>
      <c r="AP383" s="50" t="str">
        <f t="shared" si="329"/>
        <v>1-0.726250440015488i</v>
      </c>
      <c r="AQ383" s="50">
        <f t="shared" si="351"/>
        <v>1.2358963150777211</v>
      </c>
      <c r="AR383" s="50">
        <f t="shared" si="352"/>
        <v>-0.62812733009197008</v>
      </c>
      <c r="AS383" s="59" t="str">
        <f t="shared" si="353"/>
        <v>-0.240650943622825-0.609708997989773i</v>
      </c>
      <c r="AT383" s="50">
        <f t="shared" si="354"/>
        <v>-3.668771592305637</v>
      </c>
      <c r="AU383" s="61">
        <f t="shared" si="355"/>
        <v>-111.5390521761063</v>
      </c>
      <c r="AV383" s="32" t="str">
        <f t="shared" si="330"/>
        <v>-0.0000333333333333333</v>
      </c>
      <c r="AW383" s="32" t="str">
        <f t="shared" si="331"/>
        <v>0.0134716597591735i</v>
      </c>
      <c r="AX383" s="32">
        <f t="shared" si="356"/>
        <v>1.3471659759173501E-2</v>
      </c>
      <c r="AY383" s="32">
        <f t="shared" si="357"/>
        <v>1.5707963267948966</v>
      </c>
      <c r="AZ383" s="32" t="str">
        <f t="shared" si="332"/>
        <v>1+5.49625007535724i</v>
      </c>
      <c r="BA383" s="32">
        <f t="shared" si="358"/>
        <v>5.5864805460025071</v>
      </c>
      <c r="BB383" s="32">
        <f t="shared" si="359"/>
        <v>1.3908227501653068</v>
      </c>
      <c r="BC383" s="32" t="str">
        <f t="shared" si="333"/>
        <v>1+263.820003617148i</v>
      </c>
      <c r="BD383" s="32">
        <f t="shared" si="360"/>
        <v>263.82189884191189</v>
      </c>
      <c r="BE383" s="32">
        <f t="shared" si="361"/>
        <v>1.5670058818054073</v>
      </c>
      <c r="BF383" s="59" t="str">
        <f t="shared" si="362"/>
        <v>-0.0204807285061077+0.115041535702062i</v>
      </c>
      <c r="BG383" s="50">
        <f t="shared" si="363"/>
        <v>-18.647396187532934</v>
      </c>
      <c r="BH383" s="61">
        <f t="shared" si="364"/>
        <v>100.09454986437555</v>
      </c>
      <c r="BI383" s="59" t="str">
        <f t="shared" si="365"/>
        <v>0.0185529384814096-0.0232340423627546i</v>
      </c>
      <c r="BJ383" s="64">
        <f t="shared" si="366"/>
        <v>-30.535318909903175</v>
      </c>
      <c r="BK383" s="61">
        <f t="shared" si="367"/>
        <v>-51.391798042797703</v>
      </c>
      <c r="BL383" s="59" t="str">
        <f t="shared" si="371"/>
        <v>0.0750705661011866-0.0151975696669606i</v>
      </c>
      <c r="BM383" s="64">
        <f t="shared" si="368"/>
        <v>-22.316167779838576</v>
      </c>
      <c r="BN383" s="61">
        <f t="shared" si="372"/>
        <v>-11.444502311730732</v>
      </c>
      <c r="BO383" s="50">
        <f t="shared" si="369"/>
        <v>-30.535318909903175</v>
      </c>
      <c r="BP383" s="61">
        <f t="shared" si="370"/>
        <v>-51.391798042797703</v>
      </c>
    </row>
    <row r="384" spans="14:68" x14ac:dyDescent="0.25">
      <c r="N384" s="11">
        <v>66</v>
      </c>
      <c r="O384" s="51">
        <f t="shared" ref="O384:O418" si="373">10^(4+(N384/100))</f>
        <v>45708.818961487581</v>
      </c>
      <c r="P384" s="49" t="str">
        <f t="shared" si="321"/>
        <v>37.1583961085025</v>
      </c>
      <c r="Q384" s="18" t="str">
        <f t="shared" si="322"/>
        <v>1+225.107841089487i</v>
      </c>
      <c r="R384" s="18">
        <f t="shared" si="334"/>
        <v>225.11006223616423</v>
      </c>
      <c r="S384" s="18">
        <f t="shared" si="335"/>
        <v>1.5663540407457608</v>
      </c>
      <c r="T384" s="18" t="str">
        <f t="shared" si="323"/>
        <v>1+0.258477281736615i</v>
      </c>
      <c r="U384" s="18">
        <f t="shared" si="336"/>
        <v>1.0328651921591459</v>
      </c>
      <c r="V384" s="18">
        <f t="shared" si="337"/>
        <v>0.25294123003969754</v>
      </c>
      <c r="W384" s="32" t="str">
        <f t="shared" si="324"/>
        <v>1-2.2624241239967i</v>
      </c>
      <c r="X384" s="18">
        <f t="shared" si="338"/>
        <v>2.4735729050994704</v>
      </c>
      <c r="Y384" s="18">
        <f t="shared" si="339"/>
        <v>-1.154611928260872</v>
      </c>
      <c r="Z384" s="32" t="str">
        <f t="shared" si="325"/>
        <v>0.947767596728649+0.544716938178273i</v>
      </c>
      <c r="AA384" s="18">
        <f t="shared" si="340"/>
        <v>1.0931513893999822</v>
      </c>
      <c r="AB384" s="18">
        <f t="shared" si="341"/>
        <v>0.52163647337033414</v>
      </c>
      <c r="AC384" s="32" t="str">
        <f>IMDIV(IMSUM(COMPLEX(0,2*PI()*O384*Constants!$B$61*Constants!$B$62),COMPLEX(1,0)),IMSUM(COMPLEX(0,2*PI()*O384*Constants!$B$61*Constants!$B$62),COMPLEX(2,0)))</f>
        <v>0.62403991654688+0.215949200916519i</v>
      </c>
      <c r="AD384" s="18">
        <f t="shared" si="342"/>
        <v>0.66034829811268536</v>
      </c>
      <c r="AE384" s="18">
        <f t="shared" si="343"/>
        <v>0.33315183240863711</v>
      </c>
      <c r="AF384" s="66" t="str">
        <f t="shared" si="344"/>
        <v>-0.225365706034339-0.118787799513683i</v>
      </c>
      <c r="AG384" s="64">
        <f t="shared" si="345"/>
        <v>-11.877536786491516</v>
      </c>
      <c r="AH384" s="61">
        <f t="shared" si="346"/>
        <v>-152.20677570682585</v>
      </c>
      <c r="AI384" s="50" t="str">
        <f t="shared" si="326"/>
        <v>107.538871525172</v>
      </c>
      <c r="AJ384" s="50" t="str">
        <f t="shared" si="327"/>
        <v>1+213.999048191029i</v>
      </c>
      <c r="AK384" s="50">
        <f t="shared" si="347"/>
        <v>214.00138463726432</v>
      </c>
      <c r="AL384" s="50">
        <f t="shared" si="348"/>
        <v>1.5661234428272919</v>
      </c>
      <c r="AM384" s="50" t="str">
        <f t="shared" si="328"/>
        <v>1+0.258477281736615i</v>
      </c>
      <c r="AN384" s="50">
        <f t="shared" si="349"/>
        <v>1.0328651921591459</v>
      </c>
      <c r="AO384" s="50">
        <f t="shared" si="350"/>
        <v>0.25294123003969754</v>
      </c>
      <c r="AP384" s="50" t="str">
        <f t="shared" si="329"/>
        <v>1-0.743166985908661i</v>
      </c>
      <c r="AQ384" s="50">
        <f t="shared" si="351"/>
        <v>1.245912183480266</v>
      </c>
      <c r="AR384" s="50">
        <f t="shared" si="352"/>
        <v>-0.63911361753689189</v>
      </c>
      <c r="AS384" s="59" t="str">
        <f t="shared" si="353"/>
        <v>-0.240761857822164-0.600175411884357i</v>
      </c>
      <c r="AT384" s="50">
        <f t="shared" si="354"/>
        <v>-3.7864006793660234</v>
      </c>
      <c r="AU384" s="61">
        <f t="shared" si="355"/>
        <v>-111.85831143858167</v>
      </c>
      <c r="AV384" s="32" t="str">
        <f t="shared" si="330"/>
        <v>-0.0000333333333333333</v>
      </c>
      <c r="AW384" s="32" t="str">
        <f t="shared" si="331"/>
        <v>0.0137854550259528i</v>
      </c>
      <c r="AX384" s="32">
        <f t="shared" si="356"/>
        <v>1.3785455025952799E-2</v>
      </c>
      <c r="AY384" s="32">
        <f t="shared" si="357"/>
        <v>1.5707963267948966</v>
      </c>
      <c r="AZ384" s="32" t="str">
        <f t="shared" si="332"/>
        <v>1+5.62427418593561i</v>
      </c>
      <c r="BA384" s="32">
        <f t="shared" si="358"/>
        <v>5.7124828331104558</v>
      </c>
      <c r="BB384" s="32">
        <f t="shared" si="359"/>
        <v>1.3948344620359592</v>
      </c>
      <c r="BC384" s="32" t="str">
        <f t="shared" si="333"/>
        <v>1+269.96516092491i</v>
      </c>
      <c r="BD384" s="32">
        <f t="shared" si="360"/>
        <v>269.96701300939077</v>
      </c>
      <c r="BE384" s="32">
        <f t="shared" si="361"/>
        <v>1.5670921620687606</v>
      </c>
      <c r="BF384" s="59" t="str">
        <f t="shared" si="362"/>
        <v>-0.0195871913554191+0.112581742192753i</v>
      </c>
      <c r="BG384" s="50">
        <f t="shared" si="363"/>
        <v>-18.841131340102773</v>
      </c>
      <c r="BH384" s="61">
        <f t="shared" si="364"/>
        <v>99.869639200510079</v>
      </c>
      <c r="BI384" s="59" t="str">
        <f t="shared" si="365"/>
        <v>0.0177876186295376-0.023045344456082i</v>
      </c>
      <c r="BJ384" s="64">
        <f t="shared" si="366"/>
        <v>-30.718668126594302</v>
      </c>
      <c r="BK384" s="61">
        <f t="shared" si="367"/>
        <v>-52.337136506315765</v>
      </c>
      <c r="BL384" s="59" t="str">
        <f t="shared" si="371"/>
        <v>0.072284642071443-0.0153496387677867i</v>
      </c>
      <c r="BM384" s="64">
        <f t="shared" si="368"/>
        <v>-22.627532019468791</v>
      </c>
      <c r="BN384" s="61">
        <f t="shared" si="372"/>
        <v>-11.988672238071553</v>
      </c>
      <c r="BO384" s="50">
        <f t="shared" si="369"/>
        <v>-30.718668126594302</v>
      </c>
      <c r="BP384" s="61">
        <f t="shared" si="370"/>
        <v>-52.337136506315765</v>
      </c>
    </row>
    <row r="385" spans="14:68" x14ac:dyDescent="0.25">
      <c r="N385" s="11">
        <v>67</v>
      </c>
      <c r="O385" s="51">
        <f t="shared" si="373"/>
        <v>46773.514128719893</v>
      </c>
      <c r="P385" s="49" t="str">
        <f t="shared" si="321"/>
        <v>37.1583961085025</v>
      </c>
      <c r="Q385" s="18" t="str">
        <f t="shared" si="322"/>
        <v>1+230.351276294323i</v>
      </c>
      <c r="R385" s="18">
        <f t="shared" si="334"/>
        <v>230.3534468820111</v>
      </c>
      <c r="S385" s="18">
        <f t="shared" si="335"/>
        <v>1.5664551582363184</v>
      </c>
      <c r="T385" s="18" t="str">
        <f t="shared" si="323"/>
        <v>1+0.264497991064857i</v>
      </c>
      <c r="U385" s="18">
        <f t="shared" si="336"/>
        <v>1.0343883155166367</v>
      </c>
      <c r="V385" s="18">
        <f t="shared" si="337"/>
        <v>0.25857660361640339</v>
      </c>
      <c r="W385" s="32" t="str">
        <f t="shared" si="324"/>
        <v>1-2.31512275165275i</v>
      </c>
      <c r="X385" s="18">
        <f t="shared" si="338"/>
        <v>2.5218630722583257</v>
      </c>
      <c r="Y385" s="18">
        <f t="shared" si="339"/>
        <v>-1.1630600128607418</v>
      </c>
      <c r="Z385" s="32" t="str">
        <f t="shared" si="325"/>
        <v>0.945305959401261+0.557405025614457i</v>
      </c>
      <c r="AA385" s="18">
        <f t="shared" si="340"/>
        <v>1.0974077270822324</v>
      </c>
      <c r="AB385" s="18">
        <f t="shared" si="341"/>
        <v>0.53277865826194459</v>
      </c>
      <c r="AC385" s="32" t="str">
        <f>IMDIV(IMSUM(COMPLEX(0,2*PI()*O385*Constants!$B$61*Constants!$B$62),COMPLEX(1,0)),IMSUM(COMPLEX(0,2*PI()*O385*Constants!$B$61*Constants!$B$62),COMPLEX(2,0)))</f>
        <v>0.628384709608143+0.21842555057251i</v>
      </c>
      <c r="AD385" s="18">
        <f t="shared" si="342"/>
        <v>0.66526465742004848</v>
      </c>
      <c r="AE385" s="18">
        <f t="shared" si="343"/>
        <v>0.33453375322251588</v>
      </c>
      <c r="AF385" s="66" t="str">
        <f t="shared" si="344"/>
        <v>-0.227151356981912-0.116074442712955i</v>
      </c>
      <c r="AG385" s="64">
        <f t="shared" si="345"/>
        <v>-11.866124174050572</v>
      </c>
      <c r="AH385" s="61">
        <f t="shared" si="346"/>
        <v>-152.93294772147431</v>
      </c>
      <c r="AI385" s="50" t="str">
        <f t="shared" si="326"/>
        <v>107.538871525172</v>
      </c>
      <c r="AJ385" s="50" t="str">
        <f t="shared" si="327"/>
        <v>1+218.983726368632i</v>
      </c>
      <c r="AK385" s="50">
        <f t="shared" si="347"/>
        <v>218.98600963141891</v>
      </c>
      <c r="AL385" s="50">
        <f t="shared" si="348"/>
        <v>1.5662298091565987</v>
      </c>
      <c r="AM385" s="50" t="str">
        <f t="shared" si="328"/>
        <v>1+0.264497991064857i</v>
      </c>
      <c r="AN385" s="50">
        <f t="shared" si="349"/>
        <v>1.0343883155166367</v>
      </c>
      <c r="AO385" s="50">
        <f t="shared" si="350"/>
        <v>0.25857660361640339</v>
      </c>
      <c r="AP385" s="50" t="str">
        <f t="shared" si="329"/>
        <v>1-0.760477568774745i</v>
      </c>
      <c r="AQ385" s="50">
        <f t="shared" si="351"/>
        <v>1.2563145038602186</v>
      </c>
      <c r="AR385" s="50">
        <f t="shared" si="352"/>
        <v>-0.65017309831728287</v>
      </c>
      <c r="AS385" s="59" t="str">
        <f t="shared" si="353"/>
        <v>-0.240867780273316-0.59096000006113i</v>
      </c>
      <c r="AT385" s="50">
        <f t="shared" si="354"/>
        <v>-3.9013783075316635</v>
      </c>
      <c r="AU385" s="61">
        <f t="shared" si="355"/>
        <v>-112.17518423073099</v>
      </c>
      <c r="AV385" s="32" t="str">
        <f t="shared" si="330"/>
        <v>-0.0000333333333333333</v>
      </c>
      <c r="AW385" s="32" t="str">
        <f t="shared" si="331"/>
        <v>0.014106559523459i</v>
      </c>
      <c r="AX385" s="32">
        <f t="shared" si="356"/>
        <v>1.4106559523459E-2</v>
      </c>
      <c r="AY385" s="32">
        <f t="shared" si="357"/>
        <v>1.5707963267948966</v>
      </c>
      <c r="AZ385" s="32" t="str">
        <f t="shared" si="332"/>
        <v>1+5.75528036113347i</v>
      </c>
      <c r="BA385" s="32">
        <f t="shared" si="358"/>
        <v>5.8415111088868601</v>
      </c>
      <c r="BB385" s="32">
        <f t="shared" si="359"/>
        <v>1.398760393991169</v>
      </c>
      <c r="BC385" s="32" t="str">
        <f t="shared" si="333"/>
        <v>1+276.253457334407i</v>
      </c>
      <c r="BD385" s="32">
        <f t="shared" si="360"/>
        <v>276.25526726057734</v>
      </c>
      <c r="BE385" s="32">
        <f t="shared" si="361"/>
        <v>1.5671764784068338</v>
      </c>
      <c r="BF385" s="59" t="str">
        <f t="shared" si="362"/>
        <v>-0.0187314573675594+0.110167755630475i</v>
      </c>
      <c r="BG385" s="50">
        <f t="shared" si="363"/>
        <v>-19.035140001556744</v>
      </c>
      <c r="BH385" s="61">
        <f t="shared" si="364"/>
        <v>99.649530839136546</v>
      </c>
      <c r="BI385" s="59" t="str">
        <f t="shared" si="365"/>
        <v>0.0170425367990343-0.0228505117119731i</v>
      </c>
      <c r="BJ385" s="64">
        <f t="shared" si="366"/>
        <v>-30.901264175607338</v>
      </c>
      <c r="BK385" s="61">
        <f t="shared" si="367"/>
        <v>-53.283416882337775</v>
      </c>
      <c r="BL385" s="59" t="str">
        <f t="shared" si="371"/>
        <v>0.0696165414315283-0.0154663207093277i</v>
      </c>
      <c r="BM385" s="64">
        <f t="shared" si="368"/>
        <v>-22.936518309088413</v>
      </c>
      <c r="BN385" s="61">
        <f t="shared" si="372"/>
        <v>-12.525653391594481</v>
      </c>
      <c r="BO385" s="50">
        <f t="shared" si="369"/>
        <v>-30.901264175607338</v>
      </c>
      <c r="BP385" s="61">
        <f t="shared" si="370"/>
        <v>-53.283416882337775</v>
      </c>
    </row>
    <row r="386" spans="14:68" x14ac:dyDescent="0.25">
      <c r="N386" s="11">
        <v>68</v>
      </c>
      <c r="O386" s="51">
        <f t="shared" si="373"/>
        <v>47863.009232263823</v>
      </c>
      <c r="P386" s="49" t="str">
        <f t="shared" si="321"/>
        <v>37.1583961085025</v>
      </c>
      <c r="Q386" s="18" t="str">
        <f t="shared" si="322"/>
        <v>1+235.716846794908i</v>
      </c>
      <c r="R386" s="18">
        <f t="shared" si="334"/>
        <v>235.71896797443799</v>
      </c>
      <c r="S386" s="18">
        <f t="shared" si="335"/>
        <v>1.5665539740975631</v>
      </c>
      <c r="T386" s="18" t="str">
        <f t="shared" si="323"/>
        <v>1+0.270658940729005i</v>
      </c>
      <c r="U386" s="18">
        <f t="shared" si="336"/>
        <v>1.0359808213459103</v>
      </c>
      <c r="V386" s="18">
        <f t="shared" si="337"/>
        <v>0.2643259004472111</v>
      </c>
      <c r="W386" s="32" t="str">
        <f t="shared" si="324"/>
        <v>1-2.36904888803599i</v>
      </c>
      <c r="X386" s="18">
        <f t="shared" si="338"/>
        <v>2.5714572977019396</v>
      </c>
      <c r="Y386" s="18">
        <f t="shared" si="339"/>
        <v>-1.1713758024521308</v>
      </c>
      <c r="Z386" s="32" t="str">
        <f t="shared" si="325"/>
        <v>0.942728308680806+0.570388656573347i</v>
      </c>
      <c r="AA386" s="18">
        <f t="shared" si="340"/>
        <v>1.1018529318995891</v>
      </c>
      <c r="AB386" s="18">
        <f t="shared" si="341"/>
        <v>0.54411739292835615</v>
      </c>
      <c r="AC386" s="32" t="str">
        <f>IMDIV(IMSUM(COMPLEX(0,2*PI()*O386*Constants!$B$61*Constants!$B$62),COMPLEX(1,0)),IMSUM(COMPLEX(0,2*PI()*O386*Constants!$B$61*Constants!$B$62),COMPLEX(2,0)))</f>
        <v>0.632827921319032+0.220840901957905i</v>
      </c>
      <c r="AD386" s="18">
        <f t="shared" si="342"/>
        <v>0.67025508724555605</v>
      </c>
      <c r="AE386" s="18">
        <f t="shared" si="343"/>
        <v>0.33576107483775136</v>
      </c>
      <c r="AF386" s="66" t="str">
        <f t="shared" si="344"/>
        <v>-0.228940407098123-0.113323462074821i</v>
      </c>
      <c r="AG386" s="64">
        <f t="shared" si="345"/>
        <v>-11.853801026944982</v>
      </c>
      <c r="AH386" s="61">
        <f t="shared" si="346"/>
        <v>-153.66499994935046</v>
      </c>
      <c r="AI386" s="50" t="str">
        <f t="shared" si="326"/>
        <v>107.538871525172</v>
      </c>
      <c r="AJ386" s="50" t="str">
        <f t="shared" si="327"/>
        <v>1+224.084512616547i</v>
      </c>
      <c r="AK386" s="50">
        <f t="shared" si="347"/>
        <v>224.08674390645112</v>
      </c>
      <c r="AL386" s="50">
        <f t="shared" si="348"/>
        <v>1.5663337543925002</v>
      </c>
      <c r="AM386" s="50" t="str">
        <f t="shared" si="328"/>
        <v>1+0.270658940729005i</v>
      </c>
      <c r="AN386" s="50">
        <f t="shared" si="349"/>
        <v>1.0359808213459103</v>
      </c>
      <c r="AO386" s="50">
        <f t="shared" si="350"/>
        <v>0.2643259004472111</v>
      </c>
      <c r="AP386" s="50" t="str">
        <f t="shared" si="329"/>
        <v>1-0.778191366913899i</v>
      </c>
      <c r="AQ386" s="50">
        <f t="shared" si="351"/>
        <v>1.2671155446680158</v>
      </c>
      <c r="AR386" s="50">
        <f t="shared" si="352"/>
        <v>-0.66130081505088201</v>
      </c>
      <c r="AS386" s="59" t="str">
        <f t="shared" si="353"/>
        <v>-0.240968935623209-0.582057879501361i</v>
      </c>
      <c r="AT386" s="50">
        <f t="shared" si="354"/>
        <v>-4.0136551390207567</v>
      </c>
      <c r="AU386" s="61">
        <f t="shared" si="355"/>
        <v>-112.48930061492784</v>
      </c>
      <c r="AV386" s="32" t="str">
        <f t="shared" si="330"/>
        <v>-0.0000333333333333333</v>
      </c>
      <c r="AW386" s="32" t="str">
        <f t="shared" si="331"/>
        <v>0.0144351435055469i</v>
      </c>
      <c r="AX386" s="32">
        <f t="shared" si="356"/>
        <v>1.44351435055469E-2</v>
      </c>
      <c r="AY386" s="32">
        <f t="shared" si="357"/>
        <v>1.5707963267948966</v>
      </c>
      <c r="AZ386" s="32" t="str">
        <f t="shared" si="332"/>
        <v>1+5.88933806215891i</v>
      </c>
      <c r="BA386" s="32">
        <f t="shared" si="358"/>
        <v>5.9736339702390264</v>
      </c>
      <c r="BB386" s="32">
        <f t="shared" si="359"/>
        <v>1.4026021432899711</v>
      </c>
      <c r="BC386" s="32" t="str">
        <f t="shared" si="333"/>
        <v>1+282.688226983628i</v>
      </c>
      <c r="BD386" s="32">
        <f t="shared" si="360"/>
        <v>282.68999571110965</v>
      </c>
      <c r="BE386" s="32">
        <f t="shared" si="361"/>
        <v>1.5672588755204675</v>
      </c>
      <c r="BF386" s="59" t="str">
        <f t="shared" si="362"/>
        <v>-0.0179120282701606+0.107799169075869i</v>
      </c>
      <c r="BG386" s="50">
        <f t="shared" si="363"/>
        <v>-19.229410584646772</v>
      </c>
      <c r="BH386" s="61">
        <f t="shared" si="364"/>
        <v>99.434135825223152</v>
      </c>
      <c r="BI386" s="59" t="str">
        <f t="shared" si="365"/>
        <v>0.0163169620925901-0.0226497325967122i</v>
      </c>
      <c r="BJ386" s="64">
        <f t="shared" si="366"/>
        <v>-31.08321161159175</v>
      </c>
      <c r="BK386" s="61">
        <f t="shared" si="367"/>
        <v>-54.230864124127351</v>
      </c>
      <c r="BL386" s="59" t="str">
        <f t="shared" si="371"/>
        <v>0.0670615981514224-0.0155504138407804i</v>
      </c>
      <c r="BM386" s="64">
        <f t="shared" si="368"/>
        <v>-23.243065723667534</v>
      </c>
      <c r="BN386" s="61">
        <f t="shared" si="372"/>
        <v>-13.055164789704692</v>
      </c>
      <c r="BO386" s="50">
        <f t="shared" si="369"/>
        <v>-31.08321161159175</v>
      </c>
      <c r="BP386" s="61">
        <f t="shared" si="370"/>
        <v>-54.230864124127351</v>
      </c>
    </row>
    <row r="387" spans="14:68" x14ac:dyDescent="0.25">
      <c r="N387" s="11">
        <v>69</v>
      </c>
      <c r="O387" s="51">
        <f t="shared" si="373"/>
        <v>48977.881936844598</v>
      </c>
      <c r="P387" s="49" t="str">
        <f t="shared" si="321"/>
        <v>37.1583961085025</v>
      </c>
      <c r="Q387" s="18" t="str">
        <f t="shared" si="322"/>
        <v>1+241.207397487745i</v>
      </c>
      <c r="R387" s="18">
        <f t="shared" si="334"/>
        <v>241.20947038375385</v>
      </c>
      <c r="S387" s="18">
        <f t="shared" si="335"/>
        <v>1.5666505407152491</v>
      </c>
      <c r="T387" s="18" t="str">
        <f t="shared" si="323"/>
        <v>1+0.276963397346122i</v>
      </c>
      <c r="U387" s="18">
        <f t="shared" si="336"/>
        <v>1.0376457601077094</v>
      </c>
      <c r="V387" s="18">
        <f t="shared" si="337"/>
        <v>0.27019064794632902</v>
      </c>
      <c r="W387" s="32" t="str">
        <f t="shared" si="324"/>
        <v>1-2.42423112549773i</v>
      </c>
      <c r="X387" s="18">
        <f t="shared" si="338"/>
        <v>2.6223837533496099</v>
      </c>
      <c r="Y387" s="18">
        <f t="shared" si="339"/>
        <v>-1.1795591046737339</v>
      </c>
      <c r="Z387" s="32" t="str">
        <f t="shared" si="325"/>
        <v>0.940029177024513+0.583674715147938i</v>
      </c>
      <c r="AA387" s="18">
        <f t="shared" si="340"/>
        <v>1.1064949284838181</v>
      </c>
      <c r="AB387" s="18">
        <f t="shared" si="341"/>
        <v>0.5556537043982821</v>
      </c>
      <c r="AC387" s="32" t="str">
        <f>IMDIV(IMSUM(COMPLEX(0,2*PI()*O387*Constants!$B$61*Constants!$B$62),COMPLEX(1,0)),IMSUM(COMPLEX(0,2*PI()*O387*Constants!$B$61*Constants!$B$62),COMPLEX(2,0)))</f>
        <v>0.637368063784518+0.223190606756538i</v>
      </c>
      <c r="AD387" s="18">
        <f t="shared" si="342"/>
        <v>0.67531629306331498</v>
      </c>
      <c r="AE387" s="18">
        <f t="shared" si="343"/>
        <v>0.3368310553190258</v>
      </c>
      <c r="AF387" s="66" t="str">
        <f t="shared" si="344"/>
        <v>-0.230729299463636-0.110531842410343i</v>
      </c>
      <c r="AG387" s="64">
        <f t="shared" si="345"/>
        <v>-11.840684669450539</v>
      </c>
      <c r="AH387" s="61">
        <f t="shared" si="346"/>
        <v>-154.40305280179118</v>
      </c>
      <c r="AI387" s="50" t="str">
        <f t="shared" si="326"/>
        <v>107.538871525172</v>
      </c>
      <c r="AJ387" s="50" t="str">
        <f t="shared" si="327"/>
        <v>1+229.30411143916i</v>
      </c>
      <c r="AK387" s="50">
        <f t="shared" si="347"/>
        <v>229.3062919391937</v>
      </c>
      <c r="AL387" s="50">
        <f t="shared" si="348"/>
        <v>1.5664353336391466</v>
      </c>
      <c r="AM387" s="50" t="str">
        <f t="shared" si="328"/>
        <v>1+0.276963397346122i</v>
      </c>
      <c r="AN387" s="50">
        <f t="shared" si="349"/>
        <v>1.0376457601077094</v>
      </c>
      <c r="AO387" s="50">
        <f t="shared" si="350"/>
        <v>0.27019064794632902</v>
      </c>
      <c r="AP387" s="50" t="str">
        <f t="shared" si="329"/>
        <v>1-0.796317772416373i</v>
      </c>
      <c r="AQ387" s="50">
        <f t="shared" si="351"/>
        <v>1.2783278118957495</v>
      </c>
      <c r="AR387" s="50">
        <f t="shared" si="352"/>
        <v>-0.67249164508152126</v>
      </c>
      <c r="AS387" s="59" t="str">
        <f t="shared" si="353"/>
        <v>-0.241065538409644-0.573464333089615i</v>
      </c>
      <c r="AT387" s="50">
        <f t="shared" si="354"/>
        <v>-4.1231828616561605</v>
      </c>
      <c r="AU387" s="61">
        <f t="shared" si="355"/>
        <v>-112.80028272744126</v>
      </c>
      <c r="AV387" s="32" t="str">
        <f t="shared" si="330"/>
        <v>-0.0000333333333333333</v>
      </c>
      <c r="AW387" s="32" t="str">
        <f t="shared" si="331"/>
        <v>0.0147713811917932i</v>
      </c>
      <c r="AX387" s="32">
        <f t="shared" si="356"/>
        <v>1.4771381191793199E-2</v>
      </c>
      <c r="AY387" s="32">
        <f t="shared" si="357"/>
        <v>1.5707963267948966</v>
      </c>
      <c r="AZ387" s="32" t="str">
        <f t="shared" si="332"/>
        <v>1+6.02651836817952i</v>
      </c>
      <c r="BA387" s="32">
        <f t="shared" si="358"/>
        <v>6.1089216431384301</v>
      </c>
      <c r="BB387" s="32">
        <f t="shared" si="359"/>
        <v>1.4063612930474214</v>
      </c>
      <c r="BC387" s="32" t="str">
        <f t="shared" si="333"/>
        <v>1+289.272881672617i</v>
      </c>
      <c r="BD387" s="32">
        <f t="shared" si="360"/>
        <v>289.27461013918918</v>
      </c>
      <c r="BE387" s="32">
        <f t="shared" si="361"/>
        <v>1.5673393970932239</v>
      </c>
      <c r="BF387" s="59" t="str">
        <f t="shared" si="362"/>
        <v>-0.017127456484873+0.105475546984008i</v>
      </c>
      <c r="BG387" s="50">
        <f t="shared" si="363"/>
        <v>-19.423931962725622</v>
      </c>
      <c r="BH387" s="61">
        <f t="shared" si="364"/>
        <v>99.223365955842311</v>
      </c>
      <c r="BI387" s="59" t="str">
        <f t="shared" si="365"/>
        <v>0.0156102125737298-0.022443169745088i</v>
      </c>
      <c r="BJ387" s="64">
        <f t="shared" si="366"/>
        <v>-31.26461663217615</v>
      </c>
      <c r="BK387" s="61">
        <f t="shared" si="367"/>
        <v>-55.179686845948787</v>
      </c>
      <c r="BL387" s="59" t="str">
        <f t="shared" si="371"/>
        <v>0.0646153037275602-0.0156045341121325i</v>
      </c>
      <c r="BM387" s="64">
        <f t="shared" si="368"/>
        <v>-23.547114824381772</v>
      </c>
      <c r="BN387" s="61">
        <f t="shared" si="372"/>
        <v>-13.576916771598929</v>
      </c>
      <c r="BO387" s="50">
        <f t="shared" si="369"/>
        <v>-31.26461663217615</v>
      </c>
      <c r="BP387" s="61">
        <f t="shared" si="370"/>
        <v>-55.179686845948787</v>
      </c>
    </row>
    <row r="388" spans="14:68" x14ac:dyDescent="0.25">
      <c r="N388" s="11">
        <v>70</v>
      </c>
      <c r="O388" s="51">
        <f t="shared" si="373"/>
        <v>50118.723362727294</v>
      </c>
      <c r="P388" s="49" t="str">
        <f t="shared" si="321"/>
        <v>37.1583961085025</v>
      </c>
      <c r="Q388" s="18" t="str">
        <f t="shared" si="322"/>
        <v>1+246.825839535488i</v>
      </c>
      <c r="R388" s="18">
        <f t="shared" si="334"/>
        <v>246.82786524701476</v>
      </c>
      <c r="S388" s="18">
        <f t="shared" si="335"/>
        <v>1.5667449092830672</v>
      </c>
      <c r="T388" s="18" t="str">
        <f t="shared" si="323"/>
        <v>1+0.283414703622558i</v>
      </c>
      <c r="U388" s="18">
        <f t="shared" si="336"/>
        <v>1.0393863065431748</v>
      </c>
      <c r="V388" s="18">
        <f t="shared" si="337"/>
        <v>0.27617234127486884</v>
      </c>
      <c r="W388" s="32" t="str">
        <f t="shared" si="324"/>
        <v>1-2.48069872239072i</v>
      </c>
      <c r="X388" s="18">
        <f t="shared" si="338"/>
        <v>2.6746712230236729</v>
      </c>
      <c r="Y388" s="18">
        <f t="shared" si="339"/>
        <v>-1.1876098733181732</v>
      </c>
      <c r="Z388" s="32" t="str">
        <f t="shared" si="325"/>
        <v>0.937202839212261+0.597270245782352i</v>
      </c>
      <c r="AA388" s="18">
        <f t="shared" si="340"/>
        <v>1.1113419403245943</v>
      </c>
      <c r="AB388" s="18">
        <f t="shared" si="341"/>
        <v>0.56738848230461492</v>
      </c>
      <c r="AC388" s="32" t="str">
        <f>IMDIV(IMSUM(COMPLEX(0,2*PI()*O388*Constants!$B$61*Constants!$B$62),COMPLEX(1,0)),IMSUM(COMPLEX(0,2*PI()*O388*Constants!$B$61*Constants!$B$62),COMPLEX(2,0)))</f>
        <v>0.642003373598084+0.225470017265722i</v>
      </c>
      <c r="AD388" s="18">
        <f t="shared" si="342"/>
        <v>0.68044475190652032</v>
      </c>
      <c r="AE388" s="18">
        <f t="shared" si="343"/>
        <v>0.33774128789392427</v>
      </c>
      <c r="AF388" s="66" t="str">
        <f t="shared" si="344"/>
        <v>-0.232514275228878-0.10769675822468i</v>
      </c>
      <c r="AG388" s="64">
        <f t="shared" si="345"/>
        <v>-11.826893331101695</v>
      </c>
      <c r="AH388" s="61">
        <f t="shared" si="346"/>
        <v>-155.14720976818077</v>
      </c>
      <c r="AI388" s="50" t="str">
        <f t="shared" si="326"/>
        <v>107.538871525172</v>
      </c>
      <c r="AJ388" s="50" t="str">
        <f t="shared" si="327"/>
        <v>1+234.645290336858i</v>
      </c>
      <c r="AK388" s="50">
        <f t="shared" si="347"/>
        <v>234.6474212031072</v>
      </c>
      <c r="AL388" s="50">
        <f t="shared" si="348"/>
        <v>1.5665346007468088</v>
      </c>
      <c r="AM388" s="50" t="str">
        <f t="shared" si="328"/>
        <v>1+0.283414703622558i</v>
      </c>
      <c r="AN388" s="50">
        <f t="shared" si="349"/>
        <v>1.0393863065431748</v>
      </c>
      <c r="AO388" s="50">
        <f t="shared" si="350"/>
        <v>0.27617234127486884</v>
      </c>
      <c r="AP388" s="50" t="str">
        <f t="shared" si="329"/>
        <v>1-0.814866396142296i</v>
      </c>
      <c r="AQ388" s="50">
        <f t="shared" si="351"/>
        <v>1.2899640473912182</v>
      </c>
      <c r="AR388" s="50">
        <f t="shared" si="352"/>
        <v>-0.6837403106763601</v>
      </c>
      <c r="AS388" s="59" t="str">
        <f t="shared" si="353"/>
        <v>-0.241157793516132-0.56517480712655i</v>
      </c>
      <c r="AT388" s="50">
        <f t="shared" si="354"/>
        <v>-4.2299142736040283</v>
      </c>
      <c r="AU388" s="61">
        <f t="shared" si="355"/>
        <v>-113.10774559542612</v>
      </c>
      <c r="AV388" s="32" t="str">
        <f t="shared" si="330"/>
        <v>-0.0000333333333333333</v>
      </c>
      <c r="AW388" s="32" t="str">
        <f t="shared" si="331"/>
        <v>0.0151154508598698i</v>
      </c>
      <c r="AX388" s="32">
        <f t="shared" si="356"/>
        <v>1.5115450859869799E-2</v>
      </c>
      <c r="AY388" s="32">
        <f t="shared" si="357"/>
        <v>1.5707963267948966</v>
      </c>
      <c r="AZ388" s="32" t="str">
        <f t="shared" si="332"/>
        <v>1+6.16689401400936i</v>
      </c>
      <c r="BA388" s="32">
        <f t="shared" si="358"/>
        <v>6.2474460205770868</v>
      </c>
      <c r="BB388" s="32">
        <f t="shared" si="359"/>
        <v>1.4100394112298018</v>
      </c>
      <c r="BC388" s="32" t="str">
        <f t="shared" si="333"/>
        <v>1+296.01091267245i</v>
      </c>
      <c r="BD388" s="32">
        <f t="shared" si="360"/>
        <v>296.01260179454658</v>
      </c>
      <c r="BE388" s="32">
        <f t="shared" si="361"/>
        <v>1.5674180858145279</v>
      </c>
      <c r="BF388" s="59" t="str">
        <f t="shared" si="362"/>
        <v>-0.0163763441791141+0.103196427918649i</v>
      </c>
      <c r="BG388" s="50">
        <f t="shared" si="363"/>
        <v>-19.61869345404325</v>
      </c>
      <c r="BH388" s="61">
        <f t="shared" si="364"/>
        <v>99.017133839067569</v>
      </c>
      <c r="BI388" s="59" t="str">
        <f t="shared" si="365"/>
        <v>0.0149216545449107-0.0222309634640516i</v>
      </c>
      <c r="BJ388" s="64">
        <f t="shared" si="366"/>
        <v>-31.445586785144961</v>
      </c>
      <c r="BK388" s="61">
        <f t="shared" si="367"/>
        <v>-56.130075929113218</v>
      </c>
      <c r="BL388" s="59" t="str">
        <f t="shared" si="371"/>
        <v>0.0622733042731673-0.0156311256927391i</v>
      </c>
      <c r="BM388" s="64">
        <f t="shared" si="368"/>
        <v>-23.848607727647281</v>
      </c>
      <c r="BN388" s="61">
        <f t="shared" si="372"/>
        <v>-14.090611756358497</v>
      </c>
      <c r="BO388" s="50">
        <f t="shared" si="369"/>
        <v>-31.445586785144961</v>
      </c>
      <c r="BP388" s="61">
        <f t="shared" si="370"/>
        <v>-56.130075929113218</v>
      </c>
    </row>
    <row r="389" spans="14:68" x14ac:dyDescent="0.25">
      <c r="N389" s="11">
        <v>71</v>
      </c>
      <c r="O389" s="51">
        <f t="shared" si="373"/>
        <v>51286.138399136544</v>
      </c>
      <c r="P389" s="49" t="str">
        <f t="shared" si="321"/>
        <v>37.1583961085025</v>
      </c>
      <c r="Q389" s="18" t="str">
        <f t="shared" si="322"/>
        <v>1+252.575151910479i</v>
      </c>
      <c r="R389" s="18">
        <f t="shared" si="334"/>
        <v>252.57713151154746</v>
      </c>
      <c r="S389" s="18">
        <f t="shared" si="335"/>
        <v>1.5668371298297543</v>
      </c>
      <c r="T389" s="18" t="str">
        <f t="shared" si="323"/>
        <v>1+0.290016280126291i</v>
      </c>
      <c r="U389" s="18">
        <f t="shared" si="336"/>
        <v>1.0412057638806516</v>
      </c>
      <c r="V389" s="18">
        <f t="shared" si="337"/>
        <v>0.28227243909743099</v>
      </c>
      <c r="W389" s="32" t="str">
        <f t="shared" si="324"/>
        <v>1-2.53848161858225i</v>
      </c>
      <c r="X389" s="18">
        <f t="shared" si="338"/>
        <v>2.7283491213332578</v>
      </c>
      <c r="Y389" s="18">
        <f t="shared" si="339"/>
        <v>-1.195528201488353</v>
      </c>
      <c r="Z389" s="32" t="str">
        <f t="shared" si="325"/>
        <v>0.934243300202615+0.611182457006886i</v>
      </c>
      <c r="AA389" s="18">
        <f t="shared" si="340"/>
        <v>1.1164024989789514</v>
      </c>
      <c r="AB389" s="18">
        <f t="shared" si="341"/>
        <v>0.57932247214837296</v>
      </c>
      <c r="AC389" s="32" t="str">
        <f>IMDIV(IMSUM(COMPLEX(0,2*PI()*O389*Constants!$B$61*Constants!$B$62),COMPLEX(1,0)),IMSUM(COMPLEX(0,2*PI()*O389*Constants!$B$61*Constants!$B$62),COMPLEX(2,0)))</f>
        <v>0.646731806765858+0.227674505086002i</v>
      </c>
      <c r="AD389" s="18">
        <f t="shared" si="342"/>
        <v>0.68563671878684196</v>
      </c>
      <c r="AE389" s="18">
        <f t="shared" si="343"/>
        <v>0.33848971312807236</v>
      </c>
      <c r="AF389" s="66" t="str">
        <f t="shared" si="344"/>
        <v>-0.234291381082798-0.104815592441844i</v>
      </c>
      <c r="AG389" s="64">
        <f t="shared" si="345"/>
        <v>-11.812545860982926</v>
      </c>
      <c r="AH389" s="61">
        <f t="shared" si="346"/>
        <v>-155.89755618499285</v>
      </c>
      <c r="AI389" s="50" t="str">
        <f t="shared" si="326"/>
        <v>107.538871525172</v>
      </c>
      <c r="AJ389" s="50" t="str">
        <f t="shared" si="327"/>
        <v>1+240.110881273391i</v>
      </c>
      <c r="AK389" s="50">
        <f t="shared" si="347"/>
        <v>240.11296363562806</v>
      </c>
      <c r="AL389" s="50">
        <f t="shared" si="348"/>
        <v>1.5666316083403917</v>
      </c>
      <c r="AM389" s="50" t="str">
        <f t="shared" si="328"/>
        <v>1+0.290016280126291i</v>
      </c>
      <c r="AN389" s="50">
        <f t="shared" si="349"/>
        <v>1.0412057638806516</v>
      </c>
      <c r="AO389" s="50">
        <f t="shared" si="350"/>
        <v>0.28227243909743099</v>
      </c>
      <c r="AP389" s="50" t="str">
        <f t="shared" si="329"/>
        <v>1-0.833847072817487i</v>
      </c>
      <c r="AQ389" s="50">
        <f t="shared" si="351"/>
        <v>1.3020372271353426</v>
      </c>
      <c r="AR389" s="50">
        <f t="shared" si="352"/>
        <v>-0.6950413901182676</v>
      </c>
      <c r="AS389" s="59" t="str">
        <f t="shared" si="353"/>
        <v>-0.241245896606281-0.557184908927438i</v>
      </c>
      <c r="AT389" s="50">
        <f t="shared" si="354"/>
        <v>-4.3338033636421649</v>
      </c>
      <c r="AU389" s="61">
        <f t="shared" si="355"/>
        <v>-113.41129801723282</v>
      </c>
      <c r="AV389" s="32" t="str">
        <f t="shared" si="330"/>
        <v>-0.0000333333333333333</v>
      </c>
      <c r="AW389" s="32" t="str">
        <f t="shared" si="331"/>
        <v>0.0154675349400688i</v>
      </c>
      <c r="AX389" s="32">
        <f t="shared" si="356"/>
        <v>1.54675349400688E-2</v>
      </c>
      <c r="AY389" s="32">
        <f t="shared" si="357"/>
        <v>1.5707963267948966</v>
      </c>
      <c r="AZ389" s="32" t="str">
        <f t="shared" si="332"/>
        <v>1+6.31053942867392i</v>
      </c>
      <c r="BA389" s="32">
        <f t="shared" si="358"/>
        <v>6.3892807013660118</v>
      </c>
      <c r="BB389" s="32">
        <f t="shared" si="359"/>
        <v>1.4136380497453671</v>
      </c>
      <c r="BC389" s="32" t="str">
        <f t="shared" si="333"/>
        <v>1+302.905892576349i</v>
      </c>
      <c r="BD389" s="32">
        <f t="shared" si="360"/>
        <v>302.90754324954452</v>
      </c>
      <c r="BE389" s="32">
        <f t="shared" si="361"/>
        <v>1.5674949834022809</v>
      </c>
      <c r="BF389" s="59" t="str">
        <f t="shared" si="362"/>
        <v>-0.0156573422600454+0.100961327112985i</v>
      </c>
      <c r="BG389" s="50">
        <f t="shared" si="363"/>
        <v>-19.813684806348004</v>
      </c>
      <c r="BH389" s="61">
        <f t="shared" si="364"/>
        <v>98.815352947365454</v>
      </c>
      <c r="BI389" s="59" t="str">
        <f t="shared" si="365"/>
        <v>0.0142507016572544-0.022013235160202i</v>
      </c>
      <c r="BJ389" s="64">
        <f t="shared" si="366"/>
        <v>-31.626230667330937</v>
      </c>
      <c r="BK389" s="61">
        <f t="shared" si="367"/>
        <v>-57.082203237627425</v>
      </c>
      <c r="BL389" s="59" t="str">
        <f t="shared" si="371"/>
        <v>0.0600313974246379-0.015632471060723i</v>
      </c>
      <c r="BM389" s="64">
        <f t="shared" si="368"/>
        <v>-24.147488169990169</v>
      </c>
      <c r="BN389" s="61">
        <f t="shared" si="372"/>
        <v>-14.595945069867385</v>
      </c>
      <c r="BO389" s="50">
        <f t="shared" si="369"/>
        <v>-31.626230667330937</v>
      </c>
      <c r="BP389" s="61">
        <f t="shared" si="370"/>
        <v>-57.082203237627425</v>
      </c>
    </row>
    <row r="390" spans="14:68" x14ac:dyDescent="0.25">
      <c r="N390" s="11">
        <v>72</v>
      </c>
      <c r="O390" s="51">
        <f t="shared" si="373"/>
        <v>52480.746024977314</v>
      </c>
      <c r="P390" s="49" t="str">
        <f t="shared" si="321"/>
        <v>37.1583961085025</v>
      </c>
      <c r="Q390" s="18" t="str">
        <f t="shared" si="322"/>
        <v>1+258.45838297424i</v>
      </c>
      <c r="R390" s="18">
        <f t="shared" si="334"/>
        <v>258.46031751442797</v>
      </c>
      <c r="S390" s="18">
        <f t="shared" si="335"/>
        <v>1.5669272512455867</v>
      </c>
      <c r="T390" s="18" t="str">
        <f t="shared" si="323"/>
        <v>1+0.296771627100565i</v>
      </c>
      <c r="U390" s="18">
        <f t="shared" si="336"/>
        <v>1.0431075681117057</v>
      </c>
      <c r="V390" s="18">
        <f t="shared" si="337"/>
        <v>0.28849235912611748</v>
      </c>
      <c r="W390" s="32" t="str">
        <f t="shared" si="324"/>
        <v>1-2.59761045132872i</v>
      </c>
      <c r="X390" s="18">
        <f t="shared" si="338"/>
        <v>2.7834475128610197</v>
      </c>
      <c r="Y390" s="18">
        <f t="shared" si="339"/>
        <v>-1.2033143147223384</v>
      </c>
      <c r="Z390" s="32" t="str">
        <f t="shared" si="325"/>
        <v>0.931144282416546+0.625418725260079i</v>
      </c>
      <c r="AA390" s="18">
        <f t="shared" si="340"/>
        <v>1.1216854534953045</v>
      </c>
      <c r="AB390" s="18">
        <f t="shared" si="341"/>
        <v>0.59145626870454271</v>
      </c>
      <c r="AC390" s="32" t="str">
        <f>IMDIV(IMSUM(COMPLEX(0,2*PI()*O390*Constants!$B$61*Constants!$B$62),COMPLEX(1,0)),IMSUM(COMPLEX(0,2*PI()*O390*Constants!$B$61*Constants!$B$62),COMPLEX(2,0)))</f>
        <v>0.651551035057791+0.229799480638681i</v>
      </c>
      <c r="AD390" s="18">
        <f t="shared" si="342"/>
        <v>0.69088823451169457</v>
      </c>
      <c r="AE390" s="18">
        <f t="shared" si="343"/>
        <v>0.33907462942056199</v>
      </c>
      <c r="AF390" s="66" t="str">
        <f t="shared" si="344"/>
        <v>-0.236056478637642-0.101885955032247i</v>
      </c>
      <c r="AG390" s="64">
        <f t="shared" si="345"/>
        <v>-11.797761434568931</v>
      </c>
      <c r="AH390" s="61">
        <f t="shared" si="346"/>
        <v>-156.65415811954028</v>
      </c>
      <c r="AI390" s="50" t="str">
        <f t="shared" si="326"/>
        <v>107.538871525172</v>
      </c>
      <c r="AJ390" s="50" t="str">
        <f t="shared" si="327"/>
        <v>1+245.703782177417i</v>
      </c>
      <c r="AK390" s="50">
        <f t="shared" si="347"/>
        <v>245.7058171396998</v>
      </c>
      <c r="AL390" s="50">
        <f t="shared" si="348"/>
        <v>1.566726407847298</v>
      </c>
      <c r="AM390" s="50" t="str">
        <f t="shared" si="328"/>
        <v>1+0.296771627100565i</v>
      </c>
      <c r="AN390" s="50">
        <f t="shared" si="349"/>
        <v>1.0431075681117057</v>
      </c>
      <c r="AO390" s="50">
        <f t="shared" si="350"/>
        <v>0.28849235912611748</v>
      </c>
      <c r="AP390" s="50" t="str">
        <f t="shared" si="329"/>
        <v>1-0.853269866247953i</v>
      </c>
      <c r="AQ390" s="50">
        <f t="shared" si="351"/>
        <v>1.3145605595204808</v>
      </c>
      <c r="AR390" s="50">
        <f t="shared" si="352"/>
        <v>-0.70638932964603762</v>
      </c>
      <c r="AS390" s="59" t="str">
        <f t="shared" si="353"/>
        <v>-0.241330034538639-0.549490404505209i</v>
      </c>
      <c r="AT390" s="50">
        <f t="shared" si="354"/>
        <v>-4.4348053863758112</v>
      </c>
      <c r="AU390" s="61">
        <f t="shared" si="355"/>
        <v>-113.71054350343672</v>
      </c>
      <c r="AV390" s="32" t="str">
        <f t="shared" si="330"/>
        <v>-0.0000333333333333333</v>
      </c>
      <c r="AW390" s="32" t="str">
        <f t="shared" si="331"/>
        <v>0.0158278201120301i</v>
      </c>
      <c r="AX390" s="32">
        <f t="shared" si="356"/>
        <v>1.58278201120301E-2</v>
      </c>
      <c r="AY390" s="32">
        <f t="shared" si="357"/>
        <v>1.5707963267948966</v>
      </c>
      <c r="AZ390" s="32" t="str">
        <f t="shared" si="332"/>
        <v>1+6.45753077487341i</v>
      </c>
      <c r="BA390" s="32">
        <f t="shared" si="358"/>
        <v>6.5345010297984638</v>
      </c>
      <c r="BB390" s="32">
        <f t="shared" si="359"/>
        <v>1.4171587436251805</v>
      </c>
      <c r="BC390" s="32" t="str">
        <f t="shared" si="333"/>
        <v>1+309.961477193924i</v>
      </c>
      <c r="BD390" s="32">
        <f t="shared" si="360"/>
        <v>309.96309029340813</v>
      </c>
      <c r="BE390" s="32">
        <f t="shared" si="361"/>
        <v>1.5675701306249619</v>
      </c>
      <c r="BF390" s="59" t="str">
        <f t="shared" si="362"/>
        <v>-0.0149691493202198+0.0987697388821289i</v>
      </c>
      <c r="BG390" s="50">
        <f t="shared" si="363"/>
        <v>-20.008896181810513</v>
      </c>
      <c r="BH390" s="61">
        <f t="shared" si="364"/>
        <v>98.617937665796347</v>
      </c>
      <c r="BI390" s="59" t="str">
        <f t="shared" si="365"/>
        <v>0.0135968138510235-0.0217900906819638i</v>
      </c>
      <c r="BJ390" s="64">
        <f t="shared" si="366"/>
        <v>-31.806657616379454</v>
      </c>
      <c r="BK390" s="61">
        <f t="shared" si="367"/>
        <v>-58.036220453743915</v>
      </c>
      <c r="BL390" s="59" t="str">
        <f t="shared" si="371"/>
        <v>0.0578855290936776-0.0156107005807301i</v>
      </c>
      <c r="BM390" s="64">
        <f t="shared" si="368"/>
        <v>-24.443701568186317</v>
      </c>
      <c r="BN390" s="61">
        <f t="shared" si="372"/>
        <v>-15.092605837640402</v>
      </c>
      <c r="BO390" s="50">
        <f t="shared" si="369"/>
        <v>-31.806657616379454</v>
      </c>
      <c r="BP390" s="61">
        <f t="shared" si="370"/>
        <v>-58.036220453743915</v>
      </c>
    </row>
    <row r="391" spans="14:68" x14ac:dyDescent="0.25">
      <c r="N391" s="11">
        <v>73</v>
      </c>
      <c r="O391" s="51">
        <f t="shared" si="373"/>
        <v>53703.179637025423</v>
      </c>
      <c r="P391" s="49" t="str">
        <f t="shared" si="321"/>
        <v>37.1583961085025</v>
      </c>
      <c r="Q391" s="18" t="str">
        <f t="shared" si="322"/>
        <v>1+264.478652093756i</v>
      </c>
      <c r="R391" s="18">
        <f t="shared" si="334"/>
        <v>264.48054259875158</v>
      </c>
      <c r="S391" s="18">
        <f t="shared" si="335"/>
        <v>1.5670153213082731</v>
      </c>
      <c r="T391" s="18" t="str">
        <f t="shared" si="323"/>
        <v>1+0.303684326319766i</v>
      </c>
      <c r="U391" s="18">
        <f t="shared" si="336"/>
        <v>1.0450952923309387</v>
      </c>
      <c r="V391" s="18">
        <f t="shared" si="337"/>
        <v>0.29483347345102573</v>
      </c>
      <c r="W391" s="32" t="str">
        <f t="shared" si="324"/>
        <v>1-2.65811657151993i</v>
      </c>
      <c r="X391" s="18">
        <f t="shared" si="338"/>
        <v>2.8399971316515211</v>
      </c>
      <c r="Y391" s="18">
        <f t="shared" si="339"/>
        <v>-1.2109685641211341</v>
      </c>
      <c r="Z391" s="32" t="str">
        <f t="shared" si="325"/>
        <v>0.927899212421835+0.639986598799802i</v>
      </c>
      <c r="AA391" s="18">
        <f t="shared" si="340"/>
        <v>1.1271999800640526</v>
      </c>
      <c r="AB391" s="18">
        <f t="shared" si="341"/>
        <v>0.60379030961384883</v>
      </c>
      <c r="AC391" s="32" t="str">
        <f>IMDIV(IMSUM(COMPLEX(0,2*PI()*O391*Constants!$B$61*Constants!$B$62),COMPLEX(1,0)),IMSUM(COMPLEX(0,2*PI()*O391*Constants!$B$61*Constants!$B$62),COMPLEX(2,0)))</f>
        <v>0.656458443900152+0.231840413393392i</v>
      </c>
      <c r="AD391" s="18">
        <f t="shared" si="342"/>
        <v>0.69619513489410989</v>
      </c>
      <c r="AE391" s="18">
        <f t="shared" si="343"/>
        <v>0.33949470172909441</v>
      </c>
      <c r="AF391" s="66" t="str">
        <f t="shared" si="344"/>
        <v>-0.237805255779192-0.0989057013409305i</v>
      </c>
      <c r="AG391" s="64">
        <f t="shared" si="345"/>
        <v>-11.782659254364278</v>
      </c>
      <c r="AH391" s="61">
        <f t="shared" si="346"/>
        <v>-157.41706137817377</v>
      </c>
      <c r="AI391" s="50" t="str">
        <f t="shared" si="326"/>
        <v>107.538871525172</v>
      </c>
      <c r="AJ391" s="50" t="str">
        <f t="shared" si="327"/>
        <v>1+251.426958479028i</v>
      </c>
      <c r="AK391" s="50">
        <f t="shared" si="347"/>
        <v>251.42894712028456</v>
      </c>
      <c r="AL391" s="50">
        <f t="shared" si="348"/>
        <v>1.5668190495246617</v>
      </c>
      <c r="AM391" s="50" t="str">
        <f t="shared" si="328"/>
        <v>1+0.303684326319766i</v>
      </c>
      <c r="AN391" s="50">
        <f t="shared" si="349"/>
        <v>1.0450952923309387</v>
      </c>
      <c r="AO391" s="50">
        <f t="shared" si="350"/>
        <v>0.29483347345102573</v>
      </c>
      <c r="AP391" s="50" t="str">
        <f t="shared" si="329"/>
        <v>1-0.873145074655868i</v>
      </c>
      <c r="AQ391" s="50">
        <f t="shared" si="351"/>
        <v>1.3275474836689651</v>
      </c>
      <c r="AR391" s="50">
        <f t="shared" si="352"/>
        <v>-0.71777845618618996</v>
      </c>
      <c r="AS391" s="59" t="str">
        <f t="shared" si="353"/>
        <v>-0.241410385762871-0.54208721633677i</v>
      </c>
      <c r="AT391" s="50">
        <f t="shared" si="354"/>
        <v>-4.5328769318630027</v>
      </c>
      <c r="AU391" s="61">
        <f t="shared" si="355"/>
        <v>-114.00508127542057</v>
      </c>
      <c r="AV391" s="32" t="str">
        <f t="shared" si="330"/>
        <v>-0.0000333333333333333</v>
      </c>
      <c r="AW391" s="32" t="str">
        <f t="shared" si="331"/>
        <v>0.0161964974037208i</v>
      </c>
      <c r="AX391" s="32">
        <f t="shared" si="356"/>
        <v>1.6196497403720801E-2</v>
      </c>
      <c r="AY391" s="32">
        <f t="shared" si="357"/>
        <v>1.5707963267948966</v>
      </c>
      <c r="AZ391" s="32" t="str">
        <f t="shared" si="332"/>
        <v>1+6.60794598936528i</v>
      </c>
      <c r="BA391" s="32">
        <f t="shared" si="358"/>
        <v>6.6831841362009987</v>
      </c>
      <c r="BB391" s="32">
        <f t="shared" si="359"/>
        <v>1.4206030102887819</v>
      </c>
      <c r="BC391" s="32" t="str">
        <f t="shared" si="333"/>
        <v>1+317.181407489534i</v>
      </c>
      <c r="BD391" s="32">
        <f t="shared" si="360"/>
        <v>317.18298387057564</v>
      </c>
      <c r="BE391" s="32">
        <f t="shared" si="361"/>
        <v>1.5676435673232263</v>
      </c>
      <c r="BF391" s="59" t="str">
        <f t="shared" si="362"/>
        <v>-0.0143105105435467+0.0966211388927472i</v>
      </c>
      <c r="BG391" s="50">
        <f t="shared" si="363"/>
        <v>-20.20431814228262</v>
      </c>
      <c r="BH391" s="61">
        <f t="shared" si="364"/>
        <v>98.424803335326317</v>
      </c>
      <c r="BI391" s="59" t="str">
        <f t="shared" si="365"/>
        <v>0.0129594961266856-0.0215616235662103i</v>
      </c>
      <c r="BJ391" s="64">
        <f t="shared" si="366"/>
        <v>-31.986977396646896</v>
      </c>
      <c r="BK391" s="61">
        <f t="shared" si="367"/>
        <v>-58.992258042847354</v>
      </c>
      <c r="BL391" s="59" t="str">
        <f t="shared" si="371"/>
        <v>0.055831790092439-0.0155678015880368i</v>
      </c>
      <c r="BM391" s="64">
        <f t="shared" si="368"/>
        <v>-24.737195074145625</v>
      </c>
      <c r="BN391" s="61">
        <f t="shared" si="372"/>
        <v>-15.580277940094239</v>
      </c>
      <c r="BO391" s="50">
        <f t="shared" si="369"/>
        <v>-31.986977396646896</v>
      </c>
      <c r="BP391" s="61">
        <f t="shared" si="370"/>
        <v>-58.992258042847354</v>
      </c>
    </row>
    <row r="392" spans="14:68" x14ac:dyDescent="0.25">
      <c r="N392" s="11">
        <v>74</v>
      </c>
      <c r="O392" s="51">
        <f t="shared" si="373"/>
        <v>54954.087385762505</v>
      </c>
      <c r="P392" s="49" t="str">
        <f t="shared" si="321"/>
        <v>37.1583961085025</v>
      </c>
      <c r="Q392" s="18" t="str">
        <f t="shared" si="322"/>
        <v>1+270.639151295399i</v>
      </c>
      <c r="R392" s="18">
        <f t="shared" si="334"/>
        <v>270.6409987675442</v>
      </c>
      <c r="S392" s="18">
        <f t="shared" si="335"/>
        <v>1.5671013867082584</v>
      </c>
      <c r="T392" s="18" t="str">
        <f t="shared" si="323"/>
        <v>1+0.310758042988518i</v>
      </c>
      <c r="U392" s="18">
        <f t="shared" si="336"/>
        <v>1.0471726511335433</v>
      </c>
      <c r="V392" s="18">
        <f t="shared" si="337"/>
        <v>0.30129710365742229</v>
      </c>
      <c r="W392" s="32" t="str">
        <f t="shared" si="324"/>
        <v>1-2.72003206030168i</v>
      </c>
      <c r="X392" s="18">
        <f t="shared" si="338"/>
        <v>2.8980294010014811</v>
      </c>
      <c r="Y392" s="18">
        <f t="shared" si="339"/>
        <v>-1.2184914195108278</v>
      </c>
      <c r="Z392" s="32" t="str">
        <f t="shared" si="325"/>
        <v>0.924501206989949+0.65489380170543i</v>
      </c>
      <c r="AA392" s="18">
        <f t="shared" si="340"/>
        <v>1.1329555919090843</v>
      </c>
      <c r="AB392" s="18">
        <f t="shared" si="341"/>
        <v>0.61632486920650564</v>
      </c>
      <c r="AC392" s="32" t="str">
        <f>IMDIV(IMSUM(COMPLEX(0,2*PI()*O392*Constants!$B$61*Constants!$B$62),COMPLEX(1,0)),IMSUM(COMPLEX(0,2*PI()*O392*Constants!$B$61*Constants!$B$62),COMPLEX(2,0)))</f>
        <v>0.661451131913611+0.23379285267223i</v>
      </c>
      <c r="AD392" s="18">
        <f t="shared" si="342"/>
        <v>0.70155306133635842</v>
      </c>
      <c r="AE392" s="18">
        <f t="shared" si="343"/>
        <v>0.33974896844907432</v>
      </c>
      <c r="AF392" s="66" t="str">
        <f t="shared" si="344"/>
        <v>-0.23953324000996-0.0958729499016409i</v>
      </c>
      <c r="AG392" s="64">
        <f t="shared" si="345"/>
        <v>-11.767358245694272</v>
      </c>
      <c r="AH392" s="61">
        <f t="shared" si="346"/>
        <v>-158.18629064770093</v>
      </c>
      <c r="AI392" s="50" t="str">
        <f t="shared" si="326"/>
        <v>107.538871525172</v>
      </c>
      <c r="AJ392" s="50" t="str">
        <f t="shared" si="327"/>
        <v>1+257.283444682053i</v>
      </c>
      <c r="AK392" s="50">
        <f t="shared" si="347"/>
        <v>257.28538805665397</v>
      </c>
      <c r="AL392" s="50">
        <f t="shared" si="348"/>
        <v>1.5669095824859616</v>
      </c>
      <c r="AM392" s="50" t="str">
        <f t="shared" si="328"/>
        <v>1+0.310758042988518i</v>
      </c>
      <c r="AN392" s="50">
        <f t="shared" si="349"/>
        <v>1.0471726511335433</v>
      </c>
      <c r="AO392" s="50">
        <f t="shared" si="350"/>
        <v>0.30129710365742229</v>
      </c>
      <c r="AP392" s="50" t="str">
        <f t="shared" si="329"/>
        <v>1-0.893483236139804i</v>
      </c>
      <c r="AQ392" s="50">
        <f t="shared" si="351"/>
        <v>1.3410116678324826</v>
      </c>
      <c r="AR392" s="50">
        <f t="shared" si="352"/>
        <v>-0.72920299081145157</v>
      </c>
      <c r="AS392" s="59" t="str">
        <f t="shared" si="353"/>
        <v>-0.24148712069813-0.534971421211605i</v>
      </c>
      <c r="AT392" s="50">
        <f t="shared" si="354"/>
        <v>-4.6279759891610599</v>
      </c>
      <c r="AU392" s="61">
        <f t="shared" si="355"/>
        <v>-114.2945073177787</v>
      </c>
      <c r="AV392" s="32" t="str">
        <f t="shared" si="330"/>
        <v>-0.0000333333333333333</v>
      </c>
      <c r="AW392" s="32" t="str">
        <f t="shared" si="331"/>
        <v>0.0165737622927209i</v>
      </c>
      <c r="AX392" s="32">
        <f t="shared" si="356"/>
        <v>1.6573762292720898E-2</v>
      </c>
      <c r="AY392" s="32">
        <f t="shared" si="357"/>
        <v>1.5707963267948966</v>
      </c>
      <c r="AZ392" s="32" t="str">
        <f t="shared" si="332"/>
        <v>1+6.76186482428719i</v>
      </c>
      <c r="BA392" s="32">
        <f t="shared" si="358"/>
        <v>6.8354089783956908</v>
      </c>
      <c r="BB392" s="32">
        <f t="shared" si="359"/>
        <v>1.4239723488896261</v>
      </c>
      <c r="BC392" s="32" t="str">
        <f t="shared" si="333"/>
        <v>1+324.569511565786i</v>
      </c>
      <c r="BD392" s="32">
        <f t="shared" si="360"/>
        <v>324.57105206418652</v>
      </c>
      <c r="BE392" s="32">
        <f t="shared" si="361"/>
        <v>1.5677153324310131</v>
      </c>
      <c r="BF392" s="59" t="str">
        <f t="shared" si="362"/>
        <v>-0.0136802165794615+0.0945149862953212i</v>
      </c>
      <c r="BG392" s="50">
        <f t="shared" si="363"/>
        <v>-20.399941634904412</v>
      </c>
      <c r="BH392" s="61">
        <f t="shared" si="364"/>
        <v>98.235866291539949</v>
      </c>
      <c r="BI392" s="59" t="str">
        <f t="shared" si="365"/>
        <v>0.012338297147362-0.0213279181780489i</v>
      </c>
      <c r="BJ392" s="64">
        <f t="shared" si="366"/>
        <v>-32.167299880598698</v>
      </c>
      <c r="BK392" s="61">
        <f t="shared" si="367"/>
        <v>-59.950424356160902</v>
      </c>
      <c r="BL392" s="59" t="str">
        <f t="shared" si="371"/>
        <v>0.0538664126565043-0.0155056269972833i</v>
      </c>
      <c r="BM392" s="64">
        <f t="shared" si="368"/>
        <v>-25.027917624065473</v>
      </c>
      <c r="BN392" s="61">
        <f t="shared" si="372"/>
        <v>-16.058641026238799</v>
      </c>
      <c r="BO392" s="50">
        <f t="shared" si="369"/>
        <v>-32.167299880598698</v>
      </c>
      <c r="BP392" s="61">
        <f t="shared" si="370"/>
        <v>-59.950424356160902</v>
      </c>
    </row>
    <row r="393" spans="14:68" x14ac:dyDescent="0.25">
      <c r="N393" s="11">
        <v>75</v>
      </c>
      <c r="O393" s="51">
        <f t="shared" si="373"/>
        <v>56234.132519034953</v>
      </c>
      <c r="P393" s="49" t="str">
        <f t="shared" si="321"/>
        <v>37.1583961085025</v>
      </c>
      <c r="Q393" s="18" t="str">
        <f t="shared" si="322"/>
        <v>1+276.943146957393i</v>
      </c>
      <c r="R393" s="18">
        <f t="shared" si="334"/>
        <v>276.94495237621533</v>
      </c>
      <c r="S393" s="18">
        <f t="shared" si="335"/>
        <v>1.5671854930734541</v>
      </c>
      <c r="T393" s="18" t="str">
        <f t="shared" si="323"/>
        <v>1+0.317996527685031i</v>
      </c>
      <c r="U393" s="18">
        <f t="shared" si="336"/>
        <v>1.049343505063874</v>
      </c>
      <c r="V393" s="18">
        <f t="shared" si="337"/>
        <v>0.30788451573108522</v>
      </c>
      <c r="W393" s="32" t="str">
        <f t="shared" si="324"/>
        <v>1-2.78338974608569i</v>
      </c>
      <c r="X393" s="18">
        <f t="shared" si="338"/>
        <v>2.9575764535536462</v>
      </c>
      <c r="Y393" s="18">
        <f t="shared" si="339"/>
        <v>-1.2258834626676673</v>
      </c>
      <c r="Z393" s="32" t="str">
        <f t="shared" si="325"/>
        <v>0.92094305849579+0.670148237973268i</v>
      </c>
      <c r="AA393" s="18">
        <f t="shared" si="340"/>
        <v>1.1389621494370459</v>
      </c>
      <c r="AB393" s="18">
        <f t="shared" si="341"/>
        <v>0.62906005260581599</v>
      </c>
      <c r="AC393" s="32" t="str">
        <f>IMDIV(IMSUM(COMPLEX(0,2*PI()*O393*Constants!$B$61*Constants!$B$62),COMPLEX(1,0)),IMSUM(COMPLEX(0,2*PI()*O393*Constants!$B$61*Constants!$B$62),COMPLEX(2,0)))</f>
        <v>0.66652591218878+0.235652448882002i</v>
      </c>
      <c r="AD393" s="18">
        <f t="shared" si="342"/>
        <v>0.7069574727543162</v>
      </c>
      <c r="AE393" s="18">
        <f t="shared" si="343"/>
        <v>0.33983684638665057</v>
      </c>
      <c r="AF393" s="66" t="str">
        <f t="shared" si="344"/>
        <v>-0.241235813788273-0.0927860995115441i</v>
      </c>
      <c r="AG393" s="64">
        <f t="shared" si="345"/>
        <v>-11.751976749096258</v>
      </c>
      <c r="AH393" s="61">
        <f t="shared" si="346"/>
        <v>-158.96184877775801</v>
      </c>
      <c r="AI393" s="50" t="str">
        <f t="shared" si="326"/>
        <v>107.538871525172</v>
      </c>
      <c r="AJ393" s="50" t="str">
        <f t="shared" si="327"/>
        <v>1+263.276345972997i</v>
      </c>
      <c r="AK393" s="50">
        <f t="shared" si="347"/>
        <v>263.27824511131411</v>
      </c>
      <c r="AL393" s="50">
        <f t="shared" si="348"/>
        <v>1.5669980547270328</v>
      </c>
      <c r="AM393" s="50" t="str">
        <f t="shared" si="328"/>
        <v>1+0.317996527685031i</v>
      </c>
      <c r="AN393" s="50">
        <f t="shared" si="349"/>
        <v>1.049343505063874</v>
      </c>
      <c r="AO393" s="50">
        <f t="shared" si="350"/>
        <v>0.30788451573108522</v>
      </c>
      <c r="AP393" s="50" t="str">
        <f t="shared" si="329"/>
        <v>1-0.914295134262191i</v>
      </c>
      <c r="AQ393" s="50">
        <f t="shared" si="351"/>
        <v>1.354967007914037</v>
      </c>
      <c r="AR393" s="50">
        <f t="shared" si="352"/>
        <v>-0.74065706285303767</v>
      </c>
      <c r="AS393" s="59" t="str">
        <f t="shared" si="353"/>
        <v>-0.24156040209439-0.528139248161446i</v>
      </c>
      <c r="AT393" s="50">
        <f t="shared" si="354"/>
        <v>-4.7200620033707379</v>
      </c>
      <c r="AU393" s="61">
        <f t="shared" si="355"/>
        <v>-114.57841548028345</v>
      </c>
      <c r="AV393" s="32" t="str">
        <f t="shared" si="330"/>
        <v>-0.0000333333333333333</v>
      </c>
      <c r="AW393" s="32" t="str">
        <f t="shared" si="331"/>
        <v>0.0169598148098683i</v>
      </c>
      <c r="AX393" s="32">
        <f t="shared" si="356"/>
        <v>1.6959814809868301E-2</v>
      </c>
      <c r="AY393" s="32">
        <f t="shared" si="357"/>
        <v>1.5707963267948966</v>
      </c>
      <c r="AZ393" s="32" t="str">
        <f t="shared" si="332"/>
        <v>1+6.91936888944281i</v>
      </c>
      <c r="BA393" s="32">
        <f t="shared" si="358"/>
        <v>6.9912563840978557</v>
      </c>
      <c r="BB393" s="32">
        <f t="shared" si="359"/>
        <v>1.4272682397354395</v>
      </c>
      <c r="BC393" s="32" t="str">
        <f t="shared" si="333"/>
        <v>1+332.129706693255i</v>
      </c>
      <c r="BD393" s="32">
        <f t="shared" si="360"/>
        <v>332.13121212579165</v>
      </c>
      <c r="BE393" s="32">
        <f t="shared" si="361"/>
        <v>1.5677854639961744</v>
      </c>
      <c r="BF393" s="59" t="str">
        <f t="shared" si="362"/>
        <v>-0.0130771023924819+0.0924507257246129i</v>
      </c>
      <c r="BG393" s="50">
        <f t="shared" si="363"/>
        <v>-20.595757978066178</v>
      </c>
      <c r="BH393" s="61">
        <f t="shared" si="364"/>
        <v>98.051043899033402</v>
      </c>
      <c r="BI393" s="59" t="str">
        <f t="shared" si="365"/>
        <v>0.0117328076746413-0.0210890527315819i</v>
      </c>
      <c r="BJ393" s="64">
        <f t="shared" si="366"/>
        <v>-32.347734727162461</v>
      </c>
      <c r="BK393" s="61">
        <f t="shared" si="367"/>
        <v>-60.91080487872464</v>
      </c>
      <c r="BL393" s="59" t="str">
        <f t="shared" si="371"/>
        <v>0.0519857668883345-0.01542590345426i</v>
      </c>
      <c r="BM393" s="64">
        <f t="shared" si="368"/>
        <v>-25.315819981436924</v>
      </c>
      <c r="BN393" s="61">
        <f t="shared" si="372"/>
        <v>-16.527371581250037</v>
      </c>
      <c r="BO393" s="50">
        <f t="shared" si="369"/>
        <v>-32.347734727162461</v>
      </c>
      <c r="BP393" s="61">
        <f t="shared" si="370"/>
        <v>-60.91080487872464</v>
      </c>
    </row>
    <row r="394" spans="14:68" x14ac:dyDescent="0.25">
      <c r="N394" s="11">
        <v>76</v>
      </c>
      <c r="O394" s="51">
        <f t="shared" si="373"/>
        <v>57543.993733715732</v>
      </c>
      <c r="P394" s="49" t="str">
        <f t="shared" si="321"/>
        <v>37.1583961085025</v>
      </c>
      <c r="Q394" s="18" t="str">
        <f t="shared" si="322"/>
        <v>1+283.393981541679i</v>
      </c>
      <c r="R394" s="18">
        <f t="shared" si="334"/>
        <v>283.3957458644104</v>
      </c>
      <c r="S394" s="18">
        <f t="shared" si="335"/>
        <v>1.5672676849934057</v>
      </c>
      <c r="T394" s="18" t="str">
        <f t="shared" si="323"/>
        <v>1+0.325403618349706i</v>
      </c>
      <c r="U394" s="18">
        <f t="shared" si="336"/>
        <v>1.0516118651075981</v>
      </c>
      <c r="V394" s="18">
        <f t="shared" si="337"/>
        <v>0.31459691475465884</v>
      </c>
      <c r="W394" s="32" t="str">
        <f t="shared" si="324"/>
        <v>1-2.8482232219556i</v>
      </c>
      <c r="X394" s="18">
        <f t="shared" si="338"/>
        <v>3.0186711516969087</v>
      </c>
      <c r="Y394" s="18">
        <f t="shared" si="339"/>
        <v>-1.2331453806317214</v>
      </c>
      <c r="Z394" s="32" t="str">
        <f t="shared" si="325"/>
        <v>0.917217219629352+0.685757995707341i</v>
      </c>
      <c r="AA394" s="18">
        <f t="shared" si="340"/>
        <v>1.1452298706640289</v>
      </c>
      <c r="AB394" s="18">
        <f t="shared" si="341"/>
        <v>0.64199579016078367</v>
      </c>
      <c r="AC394" s="32" t="str">
        <f>IMDIV(IMSUM(COMPLEX(0,2*PI()*O394*Constants!$B$61*Constants!$B$62),COMPLEX(1,0)),IMSUM(COMPLEX(0,2*PI()*O394*Constants!$B$61*Constants!$B$62),COMPLEX(2,0)))</f>
        <v>0.671679315376479+0.237414975012325i</v>
      </c>
      <c r="AD394" s="18">
        <f t="shared" si="342"/>
        <v>0.71240365879515144</v>
      </c>
      <c r="AE394" s="18">
        <f t="shared" si="343"/>
        <v>0.3397581337821296</v>
      </c>
      <c r="AF394" s="66" t="str">
        <f t="shared" si="344"/>
        <v>-0.242908231839466-0.0896438453339112i</v>
      </c>
      <c r="AG394" s="64">
        <f t="shared" si="345"/>
        <v>-11.736632210845189</v>
      </c>
      <c r="AH394" s="61">
        <f t="shared" si="346"/>
        <v>-159.74371621075548</v>
      </c>
      <c r="AI394" s="50" t="str">
        <f t="shared" si="326"/>
        <v>107.538871525172</v>
      </c>
      <c r="AJ394" s="50" t="str">
        <f t="shared" si="327"/>
        <v>1+269.408839867452i</v>
      </c>
      <c r="AK394" s="50">
        <f t="shared" si="347"/>
        <v>269.41069577640451</v>
      </c>
      <c r="AL394" s="50">
        <f t="shared" si="348"/>
        <v>1.5670845131514854</v>
      </c>
      <c r="AM394" s="50" t="str">
        <f t="shared" si="328"/>
        <v>1+0.325403618349706i</v>
      </c>
      <c r="AN394" s="50">
        <f t="shared" si="349"/>
        <v>1.0516118651075981</v>
      </c>
      <c r="AO394" s="50">
        <f t="shared" si="350"/>
        <v>0.31459691475465884</v>
      </c>
      <c r="AP394" s="50" t="str">
        <f t="shared" si="329"/>
        <v>1-0.935591803766892i</v>
      </c>
      <c r="AQ394" s="50">
        <f t="shared" si="351"/>
        <v>1.3694276261547327</v>
      </c>
      <c r="AR394" s="50">
        <f t="shared" si="352"/>
        <v>-0.75213472458635711</v>
      </c>
      <c r="AS394" s="59" t="str">
        <f t="shared" si="353"/>
        <v>-0.241630385377533-0.521587076470026i</v>
      </c>
      <c r="AT394" s="50">
        <f t="shared" si="354"/>
        <v>-4.8090959258211701</v>
      </c>
      <c r="AU394" s="61">
        <f t="shared" si="355"/>
        <v>-114.85639862464734</v>
      </c>
      <c r="AV394" s="32" t="str">
        <f t="shared" si="330"/>
        <v>-0.0000333333333333333</v>
      </c>
      <c r="AW394" s="32" t="str">
        <f t="shared" si="331"/>
        <v>0.0173548596453176i</v>
      </c>
      <c r="AX394" s="32">
        <f t="shared" si="356"/>
        <v>1.7354859645317602E-2</v>
      </c>
      <c r="AY394" s="32">
        <f t="shared" si="357"/>
        <v>1.5707963267948966</v>
      </c>
      <c r="AZ394" s="32" t="str">
        <f t="shared" si="332"/>
        <v>1+7.0805416955723i</v>
      </c>
      <c r="BA394" s="32">
        <f t="shared" si="358"/>
        <v>7.1508090942730291</v>
      </c>
      <c r="BB394" s="32">
        <f t="shared" si="359"/>
        <v>1.4304921437788263</v>
      </c>
      <c r="BC394" s="32" t="str">
        <f t="shared" si="333"/>
        <v>1+339.866001387471i</v>
      </c>
      <c r="BD394" s="32">
        <f t="shared" si="360"/>
        <v>339.8674725523295</v>
      </c>
      <c r="BE394" s="32">
        <f t="shared" si="361"/>
        <v>1.5678539992006328</v>
      </c>
      <c r="BF394" s="59" t="str">
        <f t="shared" si="362"/>
        <v>-0.0125000460936611+0.0904277891738859i</v>
      </c>
      <c r="BG394" s="50">
        <f t="shared" si="363"/>
        <v>-20.791758847733384</v>
      </c>
      <c r="BH394" s="61">
        <f t="shared" si="364"/>
        <v>97.870254581755773</v>
      </c>
      <c r="BI394" s="59" t="str">
        <f t="shared" si="365"/>
        <v>0.0111426588411144-0.0208451021786937i</v>
      </c>
      <c r="BJ394" s="64">
        <f t="shared" si="366"/>
        <v>-32.528391058578578</v>
      </c>
      <c r="BK394" s="61">
        <f t="shared" si="367"/>
        <v>-61.873461628999699</v>
      </c>
      <c r="BL394" s="59" t="str">
        <f t="shared" si="371"/>
        <v>0.0501863571417033-0.0153302390491911i</v>
      </c>
      <c r="BM394" s="64">
        <f t="shared" si="368"/>
        <v>-25.600854773554545</v>
      </c>
      <c r="BN394" s="61">
        <f t="shared" si="372"/>
        <v>-16.986144042891553</v>
      </c>
      <c r="BO394" s="50">
        <f t="shared" si="369"/>
        <v>-32.528391058578578</v>
      </c>
      <c r="BP394" s="61">
        <f t="shared" si="370"/>
        <v>-61.873461628999699</v>
      </c>
    </row>
    <row r="395" spans="14:68" x14ac:dyDescent="0.25">
      <c r="N395" s="11">
        <v>77</v>
      </c>
      <c r="O395" s="51">
        <f t="shared" si="373"/>
        <v>58884.365535558936</v>
      </c>
      <c r="P395" s="49" t="str">
        <f t="shared" si="321"/>
        <v>37.1583961085025</v>
      </c>
      <c r="Q395" s="18" t="str">
        <f t="shared" si="322"/>
        <v>1+289.995075366142i</v>
      </c>
      <c r="R395" s="18">
        <f t="shared" si="334"/>
        <v>289.99679952822646</v>
      </c>
      <c r="S395" s="18">
        <f t="shared" si="335"/>
        <v>1.5673480060429128</v>
      </c>
      <c r="T395" s="18" t="str">
        <f t="shared" si="323"/>
        <v>1+0.332983242320055i</v>
      </c>
      <c r="U395" s="18">
        <f t="shared" si="336"/>
        <v>1.0539818972192911</v>
      </c>
      <c r="V395" s="18">
        <f t="shared" si="337"/>
        <v>0.32143543939944202</v>
      </c>
      <c r="W395" s="32" t="str">
        <f t="shared" si="324"/>
        <v>1-2.91456686347848i</v>
      </c>
      <c r="X395" s="18">
        <f t="shared" si="338"/>
        <v>3.0813471082769599</v>
      </c>
      <c r="Y395" s="18">
        <f t="shared" si="339"/>
        <v>-1.240277959132023</v>
      </c>
      <c r="Z395" s="32" t="str">
        <f t="shared" si="325"/>
        <v>0.913315787386867+0.701731351407818i</v>
      </c>
      <c r="AA395" s="18">
        <f t="shared" si="340"/>
        <v>1.151769341942533</v>
      </c>
      <c r="AB395" s="18">
        <f t="shared" si="341"/>
        <v>0.65513183225795779</v>
      </c>
      <c r="AC395" s="32" t="str">
        <f>IMDIV(IMSUM(COMPLEX(0,2*PI()*O395*Constants!$B$61*Constants!$B$62),COMPLEX(1,0)),IMSUM(COMPLEX(0,2*PI()*O395*Constants!$B$61*Constants!$B$62),COMPLEX(2,0)))</f>
        <v>0.676907594653404+0.239076348225099i</v>
      </c>
      <c r="AD395" s="18">
        <f t="shared" si="342"/>
        <v>0.71788675428656978</v>
      </c>
      <c r="AE395" s="18">
        <f t="shared" si="343"/>
        <v>0.33951301135724238</v>
      </c>
      <c r="AF395" s="66" t="str">
        <f t="shared" si="344"/>
        <v>-0.244545640386733-0.0864451937919329i</v>
      </c>
      <c r="AG395" s="64">
        <f t="shared" si="345"/>
        <v>-11.721440873223269</v>
      </c>
      <c r="AH395" s="61">
        <f t="shared" si="346"/>
        <v>-160.5318505648533</v>
      </c>
      <c r="AI395" s="50" t="str">
        <f t="shared" si="326"/>
        <v>107.538871525172</v>
      </c>
      <c r="AJ395" s="50" t="str">
        <f t="shared" si="327"/>
        <v>1+275.684177894851i</v>
      </c>
      <c r="AK395" s="50">
        <f t="shared" si="347"/>
        <v>275.6859915584393</v>
      </c>
      <c r="AL395" s="50">
        <f t="shared" si="348"/>
        <v>1.567169003595547</v>
      </c>
      <c r="AM395" s="50" t="str">
        <f t="shared" si="328"/>
        <v>1+0.332983242320055i</v>
      </c>
      <c r="AN395" s="50">
        <f t="shared" si="349"/>
        <v>1.0539818972192911</v>
      </c>
      <c r="AO395" s="50">
        <f t="shared" si="350"/>
        <v>0.32143543939944202</v>
      </c>
      <c r="AP395" s="50" t="str">
        <f t="shared" si="329"/>
        <v>1-0.957384536429971i</v>
      </c>
      <c r="AQ395" s="50">
        <f t="shared" si="351"/>
        <v>1.3844078700279157</v>
      </c>
      <c r="AR395" s="50">
        <f t="shared" si="352"/>
        <v>-0.76362996640325231</v>
      </c>
      <c r="AS395" s="59" t="str">
        <f t="shared" si="353"/>
        <v>-0.241697218978921-0.51531143376188i</v>
      </c>
      <c r="AT395" s="50">
        <f t="shared" si="354"/>
        <v>-4.8950402571165705</v>
      </c>
      <c r="AU395" s="61">
        <f t="shared" si="355"/>
        <v>-115.1280498108494</v>
      </c>
      <c r="AV395" s="32" t="str">
        <f t="shared" si="330"/>
        <v>-0.0000333333333333333</v>
      </c>
      <c r="AW395" s="32" t="str">
        <f t="shared" si="331"/>
        <v>0.0177591062570696i</v>
      </c>
      <c r="AX395" s="32">
        <f t="shared" si="356"/>
        <v>1.7759106257069598E-2</v>
      </c>
      <c r="AY395" s="32">
        <f t="shared" si="357"/>
        <v>1.5707963267948966</v>
      </c>
      <c r="AZ395" s="32" t="str">
        <f t="shared" si="332"/>
        <v>1+7.24546869863082i</v>
      </c>
      <c r="BA395" s="32">
        <f t="shared" si="358"/>
        <v>7.3141518074783622</v>
      </c>
      <c r="BB395" s="32">
        <f t="shared" si="359"/>
        <v>1.4336455021736729</v>
      </c>
      <c r="BC395" s="32" t="str">
        <f t="shared" si="333"/>
        <v>1+347.78249753428i</v>
      </c>
      <c r="BD395" s="32">
        <f t="shared" si="360"/>
        <v>347.78393521147797</v>
      </c>
      <c r="BE395" s="32">
        <f t="shared" si="361"/>
        <v>1.5679209743800844</v>
      </c>
      <c r="BF395" s="59" t="str">
        <f t="shared" si="362"/>
        <v>-0.0119479677598225+0.0884455977484316i</v>
      </c>
      <c r="BG395" s="50">
        <f t="shared" si="363"/>
        <v>-20.987936264139115</v>
      </c>
      <c r="BH395" s="61">
        <f t="shared" si="364"/>
        <v>97.693417849553512</v>
      </c>
      <c r="BI395" s="59" t="str">
        <f t="shared" si="365"/>
        <v>0.0105675202645523-0.02059614095236i</v>
      </c>
      <c r="BJ395" s="64">
        <f t="shared" si="366"/>
        <v>-32.709377137362388</v>
      </c>
      <c r="BK395" s="61">
        <f t="shared" si="367"/>
        <v>-62.838432715299938</v>
      </c>
      <c r="BL395" s="59" t="str">
        <f t="shared" si="371"/>
        <v>0.0484648183656697-0.0152201306098694i</v>
      </c>
      <c r="BM395" s="64">
        <f t="shared" si="368"/>
        <v>-25.882976521255689</v>
      </c>
      <c r="BN395" s="61">
        <f t="shared" si="372"/>
        <v>-17.434631961295906</v>
      </c>
      <c r="BO395" s="50">
        <f t="shared" si="369"/>
        <v>-32.709377137362388</v>
      </c>
      <c r="BP395" s="61">
        <f t="shared" si="370"/>
        <v>-62.838432715299938</v>
      </c>
    </row>
    <row r="396" spans="14:68" x14ac:dyDescent="0.25">
      <c r="N396" s="11">
        <v>78</v>
      </c>
      <c r="O396" s="51">
        <f t="shared" si="373"/>
        <v>60255.95860743591</v>
      </c>
      <c r="P396" s="49" t="str">
        <f t="shared" si="321"/>
        <v>37.1583961085025</v>
      </c>
      <c r="Q396" s="18" t="str">
        <f t="shared" si="322"/>
        <v>1+296.749928418103i</v>
      </c>
      <c r="R396" s="18">
        <f t="shared" si="334"/>
        <v>296.75161333369238</v>
      </c>
      <c r="S396" s="18">
        <f t="shared" si="335"/>
        <v>1.567426498805111</v>
      </c>
      <c r="T396" s="18" t="str">
        <f t="shared" si="323"/>
        <v>1+0.340739418413037i</v>
      </c>
      <c r="U396" s="18">
        <f t="shared" si="336"/>
        <v>1.0564579268766243</v>
      </c>
      <c r="V396" s="18">
        <f t="shared" si="337"/>
        <v>0.32840115621874394</v>
      </c>
      <c r="W396" s="32" t="str">
        <f t="shared" si="324"/>
        <v>1-2.98245584693123i</v>
      </c>
      <c r="X396" s="18">
        <f t="shared" si="338"/>
        <v>3.1456387076227106</v>
      </c>
      <c r="Y396" s="18">
        <f t="shared" si="339"/>
        <v>-1.2472820761433681</v>
      </c>
      <c r="Z396" s="32" t="str">
        <f t="shared" si="325"/>
        <v>0.909230486307474+0.718076774359325i</v>
      </c>
      <c r="AA396" s="18">
        <f t="shared" si="340"/>
        <v>1.1585915290149582</v>
      </c>
      <c r="AB396" s="18">
        <f t="shared" si="341"/>
        <v>0.66846774456319835</v>
      </c>
      <c r="AC396" s="32" t="str">
        <f>IMDIV(IMSUM(COMPLEX(0,2*PI()*O396*Constants!$B$61*Constants!$B$62),COMPLEX(1,0)),IMSUM(COMPLEX(0,2*PI()*O396*Constants!$B$61*Constants!$B$62),COMPLEX(2,0)))</f>
        <v>0.682206732605178+0.240632651350423i</v>
      </c>
      <c r="AD396" s="18">
        <f t="shared" si="342"/>
        <v>0.72340175484150371</v>
      </c>
      <c r="AE396" s="18">
        <f t="shared" si="343"/>
        <v>0.33910204137705108</v>
      </c>
      <c r="AF396" s="66" t="str">
        <f t="shared" si="344"/>
        <v>-0.246143098219097-0.083189476016379i</v>
      </c>
      <c r="AG396" s="64">
        <f t="shared" si="345"/>
        <v>-11.706517466205025</v>
      </c>
      <c r="AH396" s="61">
        <f t="shared" si="346"/>
        <v>-161.32618637420461</v>
      </c>
      <c r="AI396" s="50" t="str">
        <f t="shared" si="326"/>
        <v>107.538871525172</v>
      </c>
      <c r="AJ396" s="50" t="str">
        <f t="shared" si="327"/>
        <v>1+282.105687322483i</v>
      </c>
      <c r="AK396" s="50">
        <f t="shared" si="347"/>
        <v>282.10745970231017</v>
      </c>
      <c r="AL396" s="50">
        <f t="shared" si="348"/>
        <v>1.5672515708523416</v>
      </c>
      <c r="AM396" s="50" t="str">
        <f t="shared" si="328"/>
        <v>1+0.340739418413037i</v>
      </c>
      <c r="AN396" s="50">
        <f t="shared" si="349"/>
        <v>1.0564579268766243</v>
      </c>
      <c r="AO396" s="50">
        <f t="shared" si="350"/>
        <v>0.32840115621874394</v>
      </c>
      <c r="AP396" s="50" t="str">
        <f t="shared" si="329"/>
        <v>1-0.97968488704675i</v>
      </c>
      <c r="AQ396" s="50">
        <f t="shared" si="351"/>
        <v>1.399922311382958</v>
      </c>
      <c r="AR396" s="50">
        <f t="shared" si="352"/>
        <v>-0.77513673237817837</v>
      </c>
      <c r="AS396" s="59" t="str">
        <f t="shared" si="353"/>
        <v>-0.241761044650116-0.509308994169226i</v>
      </c>
      <c r="AT396" s="50">
        <f t="shared" si="354"/>
        <v>-4.9778590828482496</v>
      </c>
      <c r="AU396" s="61">
        <f t="shared" si="355"/>
        <v>-115.39296351736844</v>
      </c>
      <c r="AV396" s="32" t="str">
        <f t="shared" si="330"/>
        <v>-0.0000333333333333333</v>
      </c>
      <c r="AW396" s="32" t="str">
        <f t="shared" si="331"/>
        <v>0.0181727689820286i</v>
      </c>
      <c r="AX396" s="32">
        <f t="shared" si="356"/>
        <v>1.81727689820286E-2</v>
      </c>
      <c r="AY396" s="32">
        <f t="shared" si="357"/>
        <v>1.5707963267948966</v>
      </c>
      <c r="AZ396" s="32" t="str">
        <f t="shared" si="332"/>
        <v>1+7.41423734509849i</v>
      </c>
      <c r="BA396" s="32">
        <f t="shared" si="358"/>
        <v>7.4813712252135387</v>
      </c>
      <c r="BB396" s="32">
        <f t="shared" si="359"/>
        <v>1.4367297358930895</v>
      </c>
      <c r="BC396" s="32" t="str">
        <f t="shared" si="333"/>
        <v>1+355.883392564728i</v>
      </c>
      <c r="BD396" s="32">
        <f t="shared" si="360"/>
        <v>355.88479751652824</v>
      </c>
      <c r="BE396" s="32">
        <f t="shared" si="361"/>
        <v>1.5679864250432507</v>
      </c>
      <c r="BF396" s="59" t="str">
        <f t="shared" si="362"/>
        <v>-0.011419828245882+0.0865035633039043i</v>
      </c>
      <c r="BG396" s="50">
        <f t="shared" si="363"/>
        <v>-21.184282578846055</v>
      </c>
      <c r="BH396" s="61">
        <f t="shared" si="364"/>
        <v>97.520454321164834</v>
      </c>
      <c r="BI396" s="59" t="str">
        <f t="shared" si="365"/>
        <v>0.0100070980103728-0.0203422455506428i</v>
      </c>
      <c r="BJ396" s="64">
        <f t="shared" si="366"/>
        <v>-32.890800045051087</v>
      </c>
      <c r="BK396" s="61">
        <f t="shared" si="367"/>
        <v>-63.80573205303979</v>
      </c>
      <c r="BL396" s="59" t="str">
        <f t="shared" si="371"/>
        <v>0.0468179124248148-0.0150969705928139i</v>
      </c>
      <c r="BM396" s="64">
        <f t="shared" si="368"/>
        <v>-26.162141661694307</v>
      </c>
      <c r="BN396" s="61">
        <f t="shared" si="372"/>
        <v>-17.872509196203648</v>
      </c>
      <c r="BO396" s="50">
        <f t="shared" si="369"/>
        <v>-32.890800045051087</v>
      </c>
      <c r="BP396" s="61">
        <f t="shared" si="370"/>
        <v>-63.80573205303979</v>
      </c>
    </row>
    <row r="397" spans="14:68" x14ac:dyDescent="0.25">
      <c r="N397" s="11">
        <v>79</v>
      </c>
      <c r="O397" s="51">
        <f t="shared" si="373"/>
        <v>61659.500186148245</v>
      </c>
      <c r="P397" s="49" t="str">
        <f t="shared" si="321"/>
        <v>37.1583961085025</v>
      </c>
      <c r="Q397" s="18" t="str">
        <f t="shared" si="322"/>
        <v>1+303.662122210059i</v>
      </c>
      <c r="R397" s="18">
        <f t="shared" si="334"/>
        <v>303.66376877249746</v>
      </c>
      <c r="S397" s="18">
        <f t="shared" si="335"/>
        <v>1.5675032048940305</v>
      </c>
      <c r="T397" s="18" t="str">
        <f t="shared" si="323"/>
        <v>1+0.34867625905588i</v>
      </c>
      <c r="U397" s="18">
        <f t="shared" si="336"/>
        <v>1.0590444436515416</v>
      </c>
      <c r="V397" s="18">
        <f t="shared" si="337"/>
        <v>0.3354950537507374</v>
      </c>
      <c r="W397" s="32" t="str">
        <f t="shared" si="324"/>
        <v>1-3.05192616795148i</v>
      </c>
      <c r="X397" s="18">
        <f t="shared" si="338"/>
        <v>3.2115811268948211</v>
      </c>
      <c r="Y397" s="18">
        <f t="shared" si="339"/>
        <v>-1.2541586955923396</v>
      </c>
      <c r="Z397" s="32" t="str">
        <f t="shared" si="325"/>
        <v>0.90495265091986+0.734802931121464i</v>
      </c>
      <c r="AA397" s="18">
        <f t="shared" si="340"/>
        <v>1.1657077884236586</v>
      </c>
      <c r="AB397" s="18">
        <f t="shared" si="341"/>
        <v>0.6820029037440446</v>
      </c>
      <c r="AC397" s="32" t="str">
        <f>IMDIV(IMSUM(COMPLEX(0,2*PI()*O397*Constants!$B$61*Constants!$B$62),COMPLEX(1,0)),IMSUM(COMPLEX(0,2*PI()*O397*Constants!$B$61*Constants!$B$62),COMPLEX(2,0)))</f>
        <v>0.687572450048428+0.242080154095795i</v>
      </c>
      <c r="AD397" s="18">
        <f t="shared" si="342"/>
        <v>0.7289435335282437</v>
      </c>
      <c r="AE397" s="18">
        <f t="shared" si="343"/>
        <v>0.33852616473473612</v>
      </c>
      <c r="AF397" s="66" t="str">
        <f t="shared" si="344"/>
        <v>-0.247695599482786-0.0798763596134021i</v>
      </c>
      <c r="AG397" s="64">
        <f t="shared" si="345"/>
        <v>-11.69197490228165</v>
      </c>
      <c r="AH397" s="61">
        <f t="shared" si="346"/>
        <v>-162.12663498944985</v>
      </c>
      <c r="AI397" s="50" t="str">
        <f t="shared" si="326"/>
        <v>107.538871525172</v>
      </c>
      <c r="AJ397" s="50" t="str">
        <f t="shared" si="327"/>
        <v>1+288.676772919642i</v>
      </c>
      <c r="AK397" s="50">
        <f t="shared" si="347"/>
        <v>288.6785049554237</v>
      </c>
      <c r="AL397" s="50">
        <f t="shared" si="348"/>
        <v>1.567332258695616</v>
      </c>
      <c r="AM397" s="50" t="str">
        <f t="shared" si="328"/>
        <v>1+0.34867625905588i</v>
      </c>
      <c r="AN397" s="50">
        <f t="shared" si="349"/>
        <v>1.0590444436515416</v>
      </c>
      <c r="AO397" s="50">
        <f t="shared" si="350"/>
        <v>0.3354950537507374</v>
      </c>
      <c r="AP397" s="50" t="str">
        <f t="shared" si="329"/>
        <v>1-1.0025046795583i</v>
      </c>
      <c r="AQ397" s="50">
        <f t="shared" si="351"/>
        <v>1.4159857458803353</v>
      </c>
      <c r="AR397" s="50">
        <f t="shared" si="352"/>
        <v>-0.78664893613108222</v>
      </c>
      <c r="AS397" s="59" t="str">
        <f t="shared" si="353"/>
        <v>-0.241821997763472-0.503576576576013i</v>
      </c>
      <c r="AT397" s="50">
        <f t="shared" si="354"/>
        <v>-5.0575181018625077</v>
      </c>
      <c r="AU397" s="61">
        <f t="shared" si="355"/>
        <v>-115.65073688930063</v>
      </c>
      <c r="AV397" s="32" t="str">
        <f t="shared" si="330"/>
        <v>-0.0000333333333333333</v>
      </c>
      <c r="AW397" s="32" t="str">
        <f t="shared" si="331"/>
        <v>0.0185960671496469i</v>
      </c>
      <c r="AX397" s="32">
        <f t="shared" si="356"/>
        <v>1.85960671496469E-2</v>
      </c>
      <c r="AY397" s="32">
        <f t="shared" si="357"/>
        <v>1.5707963267948966</v>
      </c>
      <c r="AZ397" s="32" t="str">
        <f t="shared" si="332"/>
        <v>1+7.58693711834553i</v>
      </c>
      <c r="BA397" s="32">
        <f t="shared" si="358"/>
        <v>7.6525560983065759</v>
      </c>
      <c r="BB397" s="32">
        <f t="shared" si="359"/>
        <v>1.4397462454048218</v>
      </c>
      <c r="BC397" s="32" t="str">
        <f t="shared" si="333"/>
        <v>1+364.172981680586i</v>
      </c>
      <c r="BD397" s="32">
        <f t="shared" si="360"/>
        <v>364.17435465190084</v>
      </c>
      <c r="BE397" s="32">
        <f t="shared" si="361"/>
        <v>1.5680503858906956</v>
      </c>
      <c r="BF397" s="59" t="str">
        <f t="shared" si="362"/>
        <v>-0.0109146279950078+0.0846010899748619i</v>
      </c>
      <c r="BG397" s="50">
        <f t="shared" si="363"/>
        <v>-21.380790462181395</v>
      </c>
      <c r="BH397" s="61">
        <f t="shared" si="364"/>
        <v>97.351285743894195</v>
      </c>
      <c r="BI397" s="59" t="str">
        <f t="shared" si="365"/>
        <v>0.00946113241087291-0.0200834969474448i</v>
      </c>
      <c r="BJ397" s="64">
        <f t="shared" si="366"/>
        <v>-33.072765364463038</v>
      </c>
      <c r="BK397" s="61">
        <f t="shared" si="367"/>
        <v>-64.775349245555702</v>
      </c>
      <c r="BL397" s="59" t="str">
        <f t="shared" si="371"/>
        <v>0.0452425244107381-0.0149620535903616i</v>
      </c>
      <c r="BM397" s="64">
        <f t="shared" si="368"/>
        <v>-26.438308564043904</v>
      </c>
      <c r="BN397" s="61">
        <f t="shared" si="372"/>
        <v>-18.299451145406433</v>
      </c>
      <c r="BO397" s="50">
        <f t="shared" si="369"/>
        <v>-33.072765364463038</v>
      </c>
      <c r="BP397" s="61">
        <f t="shared" si="370"/>
        <v>-64.775349245555702</v>
      </c>
    </row>
    <row r="398" spans="14:68" x14ac:dyDescent="0.25">
      <c r="N398" s="11">
        <v>80</v>
      </c>
      <c r="O398" s="51">
        <f t="shared" si="373"/>
        <v>63095.734448019342</v>
      </c>
      <c r="P398" s="49" t="str">
        <f t="shared" si="321"/>
        <v>37.1583961085025</v>
      </c>
      <c r="Q398" s="18" t="str">
        <f t="shared" si="322"/>
        <v>1+310.735321678655i</v>
      </c>
      <c r="R398" s="18">
        <f t="shared" si="334"/>
        <v>310.73693076095282</v>
      </c>
      <c r="S398" s="18">
        <f t="shared" si="335"/>
        <v>1.5675781649766427</v>
      </c>
      <c r="T398" s="18" t="str">
        <f t="shared" si="323"/>
        <v>1+0.35679797246655i</v>
      </c>
      <c r="U398" s="18">
        <f t="shared" si="336"/>
        <v>1.0617461057881215</v>
      </c>
      <c r="V398" s="18">
        <f t="shared" si="337"/>
        <v>0.3427180364407969</v>
      </c>
      <c r="W398" s="32" t="str">
        <f t="shared" si="324"/>
        <v>1-3.123014660623i</v>
      </c>
      <c r="X398" s="18">
        <f t="shared" si="338"/>
        <v>3.279210357763922</v>
      </c>
      <c r="Y398" s="18">
        <f t="shared" si="339"/>
        <v>-1.260908861227684</v>
      </c>
      <c r="Z398" s="32" t="str">
        <f t="shared" si="325"/>
        <v>0.900473207361626+0.751918690123951i</v>
      </c>
      <c r="AA398" s="18">
        <f t="shared" si="340"/>
        <v>1.1731298793116864</v>
      </c>
      <c r="AB398" s="18">
        <f t="shared" si="341"/>
        <v>0.69573649372281221</v>
      </c>
      <c r="AC398" s="32" t="str">
        <f>IMDIV(IMSUM(COMPLEX(0,2*PI()*O398*Constants!$B$61*Constants!$B$62),COMPLEX(1,0)),IMSUM(COMPLEX(0,2*PI()*O398*Constants!$B$61*Constants!$B$62),COMPLEX(2,0)))</f>
        <v>0.693000216791773+0.243415333769701i</v>
      </c>
      <c r="AD398" s="18">
        <f t="shared" si="342"/>
        <v>0.73450685850280495</v>
      </c>
      <c r="AE398" s="18">
        <f t="shared" si="343"/>
        <v>0.33778669608487188</v>
      </c>
      <c r="AF398" s="66" t="str">
        <f t="shared" si="344"/>
        <v>-0.249198098050831-0.0765058585267047i</v>
      </c>
      <c r="AG398" s="64">
        <f t="shared" si="345"/>
        <v>-11.67792397618333</v>
      </c>
      <c r="AH398" s="61">
        <f t="shared" si="346"/>
        <v>-162.9330846401644</v>
      </c>
      <c r="AI398" s="50" t="str">
        <f t="shared" si="326"/>
        <v>107.538871525172</v>
      </c>
      <c r="AJ398" s="50" t="str">
        <f t="shared" si="327"/>
        <v>1+295.400918762891i</v>
      </c>
      <c r="AK398" s="50">
        <f t="shared" si="347"/>
        <v>295.40261137295346</v>
      </c>
      <c r="AL398" s="50">
        <f t="shared" si="348"/>
        <v>1.5674111099029278</v>
      </c>
      <c r="AM398" s="50" t="str">
        <f t="shared" si="328"/>
        <v>1+0.35679797246655i</v>
      </c>
      <c r="AN398" s="50">
        <f t="shared" si="349"/>
        <v>1.0617461057881215</v>
      </c>
      <c r="AO398" s="50">
        <f t="shared" si="350"/>
        <v>0.3427180364407969</v>
      </c>
      <c r="AP398" s="50" t="str">
        <f t="shared" si="329"/>
        <v>1-1.02585601332067i</v>
      </c>
      <c r="AQ398" s="50">
        <f t="shared" si="351"/>
        <v>1.4326131927586661</v>
      </c>
      <c r="AR398" s="50">
        <f t="shared" si="352"/>
        <v>-0.79816047688625746</v>
      </c>
      <c r="AS398" s="59" t="str">
        <f t="shared" si="353"/>
        <v>-0.241880207599179-0.49811114293818i</v>
      </c>
      <c r="AT398" s="50">
        <f t="shared" si="354"/>
        <v>-5.1339846470681474</v>
      </c>
      <c r="AU398" s="61">
        <f t="shared" si="355"/>
        <v>-115.900971008017</v>
      </c>
      <c r="AV398" s="32" t="str">
        <f t="shared" si="330"/>
        <v>-0.0000333333333333333</v>
      </c>
      <c r="AW398" s="32" t="str">
        <f t="shared" si="331"/>
        <v>0.019029225198216i</v>
      </c>
      <c r="AX398" s="32">
        <f t="shared" si="356"/>
        <v>1.9029225198215999E-2</v>
      </c>
      <c r="AY398" s="32">
        <f t="shared" si="357"/>
        <v>1.5707963267948966</v>
      </c>
      <c r="AZ398" s="32" t="str">
        <f t="shared" si="332"/>
        <v>1+7.76365958607772i</v>
      </c>
      <c r="BA398" s="32">
        <f t="shared" si="358"/>
        <v>7.827797274361191</v>
      </c>
      <c r="BB398" s="32">
        <f t="shared" si="359"/>
        <v>1.4426964104002737</v>
      </c>
      <c r="BC398" s="32" t="str">
        <f t="shared" si="333"/>
        <v>1+372.655660131731i</v>
      </c>
      <c r="BD398" s="32">
        <f t="shared" si="360"/>
        <v>372.65700185051696</v>
      </c>
      <c r="BE398" s="32">
        <f t="shared" si="361"/>
        <v>1.5681128908332125</v>
      </c>
      <c r="BF398" s="59" t="str">
        <f t="shared" si="362"/>
        <v>-0.0104314058508779+0.0827375755988579i</v>
      </c>
      <c r="BG398" s="50">
        <f t="shared" si="363"/>
        <v>-21.577452891042167</v>
      </c>
      <c r="BH398" s="61">
        <f t="shared" si="364"/>
        <v>97.185835010192491</v>
      </c>
      <c r="BI398" s="59" t="str">
        <f t="shared" si="365"/>
        <v>0.00892939575164384-0.0198199828163103i</v>
      </c>
      <c r="BJ398" s="64">
        <f t="shared" si="366"/>
        <v>-33.255376867225507</v>
      </c>
      <c r="BK398" s="61">
        <f t="shared" si="367"/>
        <v>-65.747249629971876</v>
      </c>
      <c r="BL398" s="59" t="str">
        <f t="shared" si="371"/>
        <v>0.0437356589582428-0.0148165824712717i</v>
      </c>
      <c r="BM398" s="64">
        <f t="shared" si="368"/>
        <v>-26.711437538110321</v>
      </c>
      <c r="BN398" s="61">
        <f t="shared" si="372"/>
        <v>-18.715135997824525</v>
      </c>
      <c r="BO398" s="50">
        <f t="shared" si="369"/>
        <v>-33.255376867225507</v>
      </c>
      <c r="BP398" s="61">
        <f t="shared" si="370"/>
        <v>-65.747249629971876</v>
      </c>
    </row>
    <row r="399" spans="14:68" x14ac:dyDescent="0.25">
      <c r="N399" s="11">
        <v>81</v>
      </c>
      <c r="O399" s="51">
        <f t="shared" si="373"/>
        <v>64565.422903465682</v>
      </c>
      <c r="P399" s="49" t="str">
        <f t="shared" si="321"/>
        <v>37.1583961085025</v>
      </c>
      <c r="Q399" s="18" t="str">
        <f t="shared" si="322"/>
        <v>1+317.973277127874i</v>
      </c>
      <c r="R399" s="18">
        <f t="shared" si="334"/>
        <v>317.97484958317028</v>
      </c>
      <c r="S399" s="18">
        <f t="shared" si="335"/>
        <v>1.5676514187944037</v>
      </c>
      <c r="T399" s="18" t="str">
        <f t="shared" si="323"/>
        <v>1+0.365108864885003i</v>
      </c>
      <c r="U399" s="18">
        <f t="shared" si="336"/>
        <v>1.0645677447760735</v>
      </c>
      <c r="V399" s="18">
        <f t="shared" si="337"/>
        <v>0.3500709183954096</v>
      </c>
      <c r="W399" s="32" t="str">
        <f t="shared" si="324"/>
        <v>1-3.19575901700558i</v>
      </c>
      <c r="X399" s="18">
        <f t="shared" si="338"/>
        <v>3.3485632284268529</v>
      </c>
      <c r="Y399" s="18">
        <f t="shared" si="339"/>
        <v>-1.2675336906678043</v>
      </c>
      <c r="Z399" s="32" t="str">
        <f t="shared" si="325"/>
        <v>0.895782654132416+0.769433126368764i</v>
      </c>
      <c r="AA399" s="18">
        <f t="shared" si="340"/>
        <v>1.1808699756527499</v>
      </c>
      <c r="AB399" s="18">
        <f t="shared" si="341"/>
        <v>0.70966750250926347</v>
      </c>
      <c r="AC399" s="32" t="str">
        <f>IMDIV(IMSUM(COMPLEX(0,2*PI()*O399*Constants!$B$61*Constants!$B$62),COMPLEX(1,0)),IMSUM(COMPLEX(0,2*PI()*O399*Constants!$B$61*Constants!$B$62),COMPLEX(2,0)))</f>
        <v>0.69848526431261+0.244634895317611i</v>
      </c>
      <c r="AD399" s="18">
        <f t="shared" si="342"/>
        <v>0.74008641148781762</v>
      </c>
      <c r="AE399" s="18">
        <f t="shared" si="343"/>
        <v>0.33688531706779684</v>
      </c>
      <c r="AF399" s="66" t="str">
        <f t="shared" si="344"/>
        <v>-0.250645533294387-0.0730783407807449i</v>
      </c>
      <c r="AG399" s="64">
        <f t="shared" si="345"/>
        <v>-11.664473071280819</v>
      </c>
      <c r="AH399" s="61">
        <f t="shared" si="346"/>
        <v>-163.74540065965448</v>
      </c>
      <c r="AI399" s="50" t="str">
        <f t="shared" si="326"/>
        <v>107.538871525172</v>
      </c>
      <c r="AJ399" s="50" t="str">
        <f t="shared" si="327"/>
        <v>1+302.281690083364i</v>
      </c>
      <c r="AK399" s="50">
        <f t="shared" si="347"/>
        <v>302.28334416513081</v>
      </c>
      <c r="AL399" s="50">
        <f t="shared" si="348"/>
        <v>1.5674881662783062</v>
      </c>
      <c r="AM399" s="50" t="str">
        <f t="shared" si="328"/>
        <v>1+0.365108864885003i</v>
      </c>
      <c r="AN399" s="50">
        <f t="shared" si="349"/>
        <v>1.0645677447760735</v>
      </c>
      <c r="AO399" s="50">
        <f t="shared" si="350"/>
        <v>0.3500709183954096</v>
      </c>
      <c r="AP399" s="50" t="str">
        <f t="shared" si="329"/>
        <v>1-1.04975126952011i</v>
      </c>
      <c r="AQ399" s="50">
        <f t="shared" si="351"/>
        <v>1.4498198949728491</v>
      </c>
      <c r="AR399" s="50">
        <f t="shared" si="352"/>
        <v>-0.80966525562404956</v>
      </c>
      <c r="AS399" s="59" t="str">
        <f t="shared" si="353"/>
        <v>-0.241935797619404-0.492909796679351i</v>
      </c>
      <c r="AT399" s="50">
        <f t="shared" si="354"/>
        <v>-5.2072276988583033</v>
      </c>
      <c r="AU399" s="61">
        <f t="shared" si="355"/>
        <v>-116.14327217576083</v>
      </c>
      <c r="AV399" s="32" t="str">
        <f t="shared" si="330"/>
        <v>-0.0000333333333333333</v>
      </c>
      <c r="AW399" s="32" t="str">
        <f t="shared" si="331"/>
        <v>0.0194724727938668i</v>
      </c>
      <c r="AX399" s="32">
        <f t="shared" si="356"/>
        <v>1.94724727938668E-2</v>
      </c>
      <c r="AY399" s="32">
        <f t="shared" si="357"/>
        <v>1.5707963267948966</v>
      </c>
      <c r="AZ399" s="32" t="str">
        <f t="shared" si="332"/>
        <v>1+7.94449844888664i</v>
      </c>
      <c r="BA399" s="32">
        <f t="shared" si="358"/>
        <v>8.0071877462915921</v>
      </c>
      <c r="BB399" s="32">
        <f t="shared" si="359"/>
        <v>1.4455815895734492</v>
      </c>
      <c r="BC399" s="32" t="str">
        <f t="shared" si="333"/>
        <v>1+381.335925546559i</v>
      </c>
      <c r="BD399" s="32">
        <f t="shared" si="360"/>
        <v>381.33723672420291</v>
      </c>
      <c r="BE399" s="32">
        <f t="shared" si="361"/>
        <v>1.5681739730097943</v>
      </c>
      <c r="BF399" s="59" t="str">
        <f t="shared" si="362"/>
        <v>-0.00996923787581109+0.0809124130412603i</v>
      </c>
      <c r="BG399" s="50">
        <f t="shared" si="363"/>
        <v>-21.774263137072282</v>
      </c>
      <c r="BH399" s="61">
        <f t="shared" si="364"/>
        <v>97.024026171352077</v>
      </c>
      <c r="BI399" s="59" t="str">
        <f t="shared" si="365"/>
        <v>0.00841168983754288-0.0195517995540496i</v>
      </c>
      <c r="BJ399" s="64">
        <f t="shared" si="366"/>
        <v>-33.438736208353092</v>
      </c>
      <c r="BK399" s="61">
        <f t="shared" si="367"/>
        <v>-66.72137448830243</v>
      </c>
      <c r="BL399" s="59" t="str">
        <f t="shared" si="371"/>
        <v>0.0422944365781452-0.0146616741720339i</v>
      </c>
      <c r="BM399" s="64">
        <f t="shared" si="368"/>
        <v>-26.981490835930586</v>
      </c>
      <c r="BN399" s="61">
        <f t="shared" si="372"/>
        <v>-19.119246004408804</v>
      </c>
      <c r="BO399" s="50">
        <f t="shared" si="369"/>
        <v>-33.438736208353092</v>
      </c>
      <c r="BP399" s="61">
        <f t="shared" si="370"/>
        <v>-66.72137448830243</v>
      </c>
    </row>
    <row r="400" spans="14:68" x14ac:dyDescent="0.25">
      <c r="N400" s="11">
        <v>82</v>
      </c>
      <c r="O400" s="51">
        <f t="shared" si="373"/>
        <v>66069.344800759733</v>
      </c>
      <c r="P400" s="49" t="str">
        <f t="shared" si="321"/>
        <v>37.1583961085025</v>
      </c>
      <c r="Q400" s="18" t="str">
        <f t="shared" si="322"/>
        <v>1+325.3798262175i</v>
      </c>
      <c r="R400" s="18">
        <f t="shared" si="334"/>
        <v>325.38136287951482</v>
      </c>
      <c r="S400" s="18">
        <f t="shared" si="335"/>
        <v>1.5677230051843112</v>
      </c>
      <c r="T400" s="18" t="str">
        <f t="shared" si="323"/>
        <v>1+0.373613342856405i</v>
      </c>
      <c r="U400" s="18">
        <f t="shared" si="336"/>
        <v>1.0675143699081233</v>
      </c>
      <c r="V400" s="18">
        <f t="shared" si="337"/>
        <v>0.35755441698205603</v>
      </c>
      <c r="W400" s="32" t="str">
        <f t="shared" si="324"/>
        <v>1-3.27019780711985i</v>
      </c>
      <c r="X400" s="18">
        <f t="shared" si="338"/>
        <v>3.419677425970391</v>
      </c>
      <c r="Y400" s="18">
        <f t="shared" si="339"/>
        <v>-1.2740343696359666</v>
      </c>
      <c r="Z400" s="32" t="str">
        <f t="shared" si="325"/>
        <v>0.890871041939958+0.787355526241829i</v>
      </c>
      <c r="AA400" s="18">
        <f t="shared" si="340"/>
        <v>1.1889406789536363</v>
      </c>
      <c r="AB400" s="18">
        <f t="shared" si="341"/>
        <v>0.72379471965989506</v>
      </c>
      <c r="AC400" s="32" t="str">
        <f>IMDIV(IMSUM(COMPLEX(0,2*PI()*O400*Constants!$B$61*Constants!$B$62),COMPLEX(1,0)),IMSUM(COMPLEX(0,2*PI()*O400*Constants!$B$61*Constants!$B$62),COMPLEX(2,0)))</f>
        <v>0.704022600302971+0.24573579046834i</v>
      </c>
      <c r="AD400" s="18">
        <f t="shared" si="342"/>
        <v>0.74567680697099381</v>
      </c>
      <c r="AE400" s="18">
        <f t="shared" si="343"/>
        <v>0.33582406768422557</v>
      </c>
      <c r="AF400" s="66" t="str">
        <f t="shared" si="344"/>
        <v>-0.252032857048854-0.0695945339086812i</v>
      </c>
      <c r="AG400" s="64">
        <f t="shared" si="345"/>
        <v>-11.65172787445594</v>
      </c>
      <c r="AH400" s="61">
        <f t="shared" si="346"/>
        <v>-164.56342587119053</v>
      </c>
      <c r="AI400" s="50" t="str">
        <f t="shared" si="326"/>
        <v>107.538871525172</v>
      </c>
      <c r="AJ400" s="50" t="str">
        <f t="shared" si="327"/>
        <v>1+309.322735157089i</v>
      </c>
      <c r="AK400" s="50">
        <f t="shared" si="347"/>
        <v>309.32435158755715</v>
      </c>
      <c r="AL400" s="50">
        <f t="shared" si="348"/>
        <v>1.5675634686743993</v>
      </c>
      <c r="AM400" s="50" t="str">
        <f t="shared" si="328"/>
        <v>1+0.373613342856405i</v>
      </c>
      <c r="AN400" s="50">
        <f t="shared" si="349"/>
        <v>1.0675143699081233</v>
      </c>
      <c r="AO400" s="50">
        <f t="shared" si="350"/>
        <v>0.35755441698205603</v>
      </c>
      <c r="AP400" s="50" t="str">
        <f t="shared" si="329"/>
        <v>1-1.07420311773776i</v>
      </c>
      <c r="AQ400" s="50">
        <f t="shared" si="351"/>
        <v>1.4676213197407306</v>
      </c>
      <c r="AR400" s="50">
        <f t="shared" si="352"/>
        <v>-0.82115719122124176</v>
      </c>
      <c r="AS400" s="59" t="str">
        <f t="shared" si="353"/>
        <v>-0.241988885730111-0.487969781161089i</v>
      </c>
      <c r="AT400" s="50">
        <f t="shared" si="354"/>
        <v>-5.2772178913175534</v>
      </c>
      <c r="AU400" s="61">
        <f t="shared" si="355"/>
        <v>-116.37725320839256</v>
      </c>
      <c r="AV400" s="32" t="str">
        <f t="shared" si="330"/>
        <v>-0.0000333333333333333</v>
      </c>
      <c r="AW400" s="32" t="str">
        <f t="shared" si="331"/>
        <v>0.0199260449523415i</v>
      </c>
      <c r="AX400" s="32">
        <f t="shared" si="356"/>
        <v>1.9926044952341501E-2</v>
      </c>
      <c r="AY400" s="32">
        <f t="shared" si="357"/>
        <v>1.5707963267948966</v>
      </c>
      <c r="AZ400" s="32" t="str">
        <f t="shared" si="332"/>
        <v>1+8.12954958993103i</v>
      </c>
      <c r="BA400" s="32">
        <f t="shared" si="358"/>
        <v>8.1908227019724809</v>
      </c>
      <c r="BB400" s="32">
        <f t="shared" si="359"/>
        <v>1.4484031204463308</v>
      </c>
      <c r="BC400" s="32" t="str">
        <f t="shared" si="333"/>
        <v>1+390.21838031669i</v>
      </c>
      <c r="BD400" s="32">
        <f t="shared" si="360"/>
        <v>390.21966164838608</v>
      </c>
      <c r="BE400" s="32">
        <f t="shared" si="361"/>
        <v>1.5682336648051958</v>
      </c>
      <c r="BF400" s="59" t="str">
        <f t="shared" si="362"/>
        <v>-0.00952723617812499+0.0791249914258919i</v>
      </c>
      <c r="BG400" s="50">
        <f t="shared" si="363"/>
        <v>-21.971214755206503</v>
      </c>
      <c r="BH400" s="61">
        <f t="shared" si="364"/>
        <v>96.86578444851817</v>
      </c>
      <c r="BI400" s="59" t="str">
        <f t="shared" si="365"/>
        <v>0.00790784345256539-0.0192790540917791i</v>
      </c>
      <c r="BJ400" s="64">
        <f t="shared" si="366"/>
        <v>-33.622942629662433</v>
      </c>
      <c r="BK400" s="61">
        <f t="shared" si="367"/>
        <v>-67.697641422672405</v>
      </c>
      <c r="BL400" s="59" t="str">
        <f t="shared" si="371"/>
        <v>0.0409160900172976-0.0144983651556465i</v>
      </c>
      <c r="BM400" s="64">
        <f t="shared" si="368"/>
        <v>-27.248432646524051</v>
      </c>
      <c r="BN400" s="61">
        <f t="shared" si="372"/>
        <v>-19.511468759874369</v>
      </c>
      <c r="BO400" s="50">
        <f t="shared" si="369"/>
        <v>-33.622942629662433</v>
      </c>
      <c r="BP400" s="61">
        <f t="shared" si="370"/>
        <v>-67.697641422672405</v>
      </c>
    </row>
    <row r="401" spans="14:68" x14ac:dyDescent="0.25">
      <c r="N401" s="11">
        <v>83</v>
      </c>
      <c r="O401" s="51">
        <f t="shared" si="373"/>
        <v>67608.297539198305</v>
      </c>
      <c r="P401" s="49" t="str">
        <f t="shared" si="321"/>
        <v>37.1583961085025</v>
      </c>
      <c r="Q401" s="18" t="str">
        <f t="shared" si="322"/>
        <v>1+332.958895997898i</v>
      </c>
      <c r="R401" s="18">
        <f t="shared" si="334"/>
        <v>332.9603976813745</v>
      </c>
      <c r="S401" s="18">
        <f t="shared" si="335"/>
        <v>1.5677929620994799</v>
      </c>
      <c r="T401" s="18" t="str">
        <f t="shared" si="323"/>
        <v>1+0.382315915567546i</v>
      </c>
      <c r="U401" s="18">
        <f t="shared" si="336"/>
        <v>1.0705911728088602</v>
      </c>
      <c r="V401" s="18">
        <f t="shared" si="337"/>
        <v>0.36516914629190211</v>
      </c>
      <c r="W401" s="32" t="str">
        <f t="shared" si="324"/>
        <v>1-3.34637049939763i</v>
      </c>
      <c r="X401" s="18">
        <f t="shared" si="338"/>
        <v>3.4925915190927701</v>
      </c>
      <c r="Y401" s="18">
        <f t="shared" si="339"/>
        <v>-1.280412146391767</v>
      </c>
      <c r="Z401" s="32" t="str">
        <f t="shared" si="325"/>
        <v>0.88572795259628+0.805695392436789i</v>
      </c>
      <c r="AA401" s="18">
        <f t="shared" si="340"/>
        <v>1.19735503147741</v>
      </c>
      <c r="AB401" s="18">
        <f t="shared" si="341"/>
        <v>0.73811673440825853</v>
      </c>
      <c r="AC401" s="32" t="str">
        <f>IMDIV(IMSUM(COMPLEX(0,2*PI()*O401*Constants!$B$61*Constants!$B$62),COMPLEX(1,0)),IMSUM(COMPLEX(0,2*PI()*O401*Constants!$B$61*Constants!$B$62),COMPLEX(2,0)))</f>
        <v>0.709607025013708+0.246715235791705i</v>
      </c>
      <c r="AD401" s="18">
        <f t="shared" si="342"/>
        <v>0.75127261198619621</v>
      </c>
      <c r="AE401" s="18">
        <f t="shared" si="343"/>
        <v>0.33460533589501501</v>
      </c>
      <c r="AF401" s="66" t="str">
        <f t="shared" si="344"/>
        <v>-0.253355061539172-0.0660555278904137i</v>
      </c>
      <c r="AG401" s="64">
        <f t="shared" si="345"/>
        <v>-11.639791101220505</v>
      </c>
      <c r="AH401" s="61">
        <f t="shared" si="346"/>
        <v>-165.38698113345814</v>
      </c>
      <c r="AI401" s="50" t="str">
        <f t="shared" si="326"/>
        <v>107.538871525172</v>
      </c>
      <c r="AJ401" s="50" t="str">
        <f t="shared" si="327"/>
        <v>1+316.527787239365i</v>
      </c>
      <c r="AK401" s="50">
        <f t="shared" si="347"/>
        <v>316.52936687556928</v>
      </c>
      <c r="AL401" s="50">
        <f t="shared" si="348"/>
        <v>1.5676370570141163</v>
      </c>
      <c r="AM401" s="50" t="str">
        <f t="shared" si="328"/>
        <v>1+0.382315915567546i</v>
      </c>
      <c r="AN401" s="50">
        <f t="shared" si="349"/>
        <v>1.0705911728088602</v>
      </c>
      <c r="AO401" s="50">
        <f t="shared" si="350"/>
        <v>0.36516914629190211</v>
      </c>
      <c r="AP401" s="50" t="str">
        <f t="shared" si="329"/>
        <v>1-1.09922452266719i</v>
      </c>
      <c r="AQ401" s="50">
        <f t="shared" si="351"/>
        <v>1.4860331595334308</v>
      </c>
      <c r="AR401" s="50">
        <f t="shared" si="352"/>
        <v>-0.83263023647600809</v>
      </c>
      <c r="AS401" s="59" t="str">
        <f t="shared" si="353"/>
        <v>-0.24203958453106-0.48328847822693i</v>
      </c>
      <c r="AT401" s="50">
        <f t="shared" si="354"/>
        <v>-5.3439275114779399</v>
      </c>
      <c r="AU401" s="61">
        <f t="shared" si="355"/>
        <v>-116.60253472935175</v>
      </c>
      <c r="AV401" s="32" t="str">
        <f t="shared" si="330"/>
        <v>-0.0000333333333333333</v>
      </c>
      <c r="AW401" s="32" t="str">
        <f t="shared" si="331"/>
        <v>0.0203901821636024i</v>
      </c>
      <c r="AX401" s="32">
        <f t="shared" si="356"/>
        <v>2.0390182163602399E-2</v>
      </c>
      <c r="AY401" s="32">
        <f t="shared" si="357"/>
        <v>1.5707963267948966</v>
      </c>
      <c r="AZ401" s="32" t="str">
        <f t="shared" si="332"/>
        <v>1+8.3189111257753i</v>
      </c>
      <c r="BA401" s="32">
        <f t="shared" si="358"/>
        <v>8.3787995750315005</v>
      </c>
      <c r="BB401" s="32">
        <f t="shared" si="359"/>
        <v>1.4511623192373753</v>
      </c>
      <c r="BC401" s="32" t="str">
        <f t="shared" si="333"/>
        <v>1+399.307734037215i</v>
      </c>
      <c r="BD401" s="32">
        <f t="shared" si="360"/>
        <v>399.3089862023333</v>
      </c>
      <c r="BE401" s="32">
        <f t="shared" si="361"/>
        <v>1.5682919978670942</v>
      </c>
      <c r="BF401" s="59" t="str">
        <f t="shared" si="362"/>
        <v>-0.00910454775166716+0.0773746972763966i</v>
      </c>
      <c r="BG401" s="50">
        <f t="shared" si="363"/>
        <v>-22.168301572580418</v>
      </c>
      <c r="BH401" s="61">
        <f t="shared" si="364"/>
        <v>96.711036241206571</v>
      </c>
      <c r="BI401" s="59" t="str">
        <f t="shared" si="365"/>
        <v>0.0074177097298633-0.0190018654820964i</v>
      </c>
      <c r="BJ401" s="64">
        <f t="shared" si="366"/>
        <v>-33.808092673800928</v>
      </c>
      <c r="BK401" s="61">
        <f t="shared" si="367"/>
        <v>-68.67594489225155</v>
      </c>
      <c r="BL401" s="59" t="str">
        <f t="shared" si="371"/>
        <v>0.0395979606551358-0.0143276165541479i</v>
      </c>
      <c r="BM401" s="64">
        <f t="shared" si="368"/>
        <v>-27.512229084058365</v>
      </c>
      <c r="BN401" s="61">
        <f t="shared" si="372"/>
        <v>-19.89149848814511</v>
      </c>
      <c r="BO401" s="50">
        <f t="shared" si="369"/>
        <v>-33.808092673800928</v>
      </c>
      <c r="BP401" s="61">
        <f t="shared" si="370"/>
        <v>-68.67594489225155</v>
      </c>
    </row>
    <row r="402" spans="14:68" x14ac:dyDescent="0.25">
      <c r="N402" s="11">
        <v>84</v>
      </c>
      <c r="O402" s="51">
        <f t="shared" si="373"/>
        <v>69183.097091893651</v>
      </c>
      <c r="P402" s="49" t="str">
        <f t="shared" si="321"/>
        <v>37.1583961085025</v>
      </c>
      <c r="Q402" s="18" t="str">
        <f t="shared" si="322"/>
        <v>1+340.714504992184i</v>
      </c>
      <c r="R402" s="18">
        <f t="shared" si="334"/>
        <v>340.71597249332029</v>
      </c>
      <c r="S402" s="18">
        <f t="shared" si="335"/>
        <v>1.5678613266292516</v>
      </c>
      <c r="T402" s="18" t="str">
        <f t="shared" si="323"/>
        <v>1+0.391221197237669i</v>
      </c>
      <c r="U402" s="18">
        <f t="shared" si="336"/>
        <v>1.0738035319219597</v>
      </c>
      <c r="V402" s="18">
        <f t="shared" si="337"/>
        <v>0.37291561048466887</v>
      </c>
      <c r="W402" s="32" t="str">
        <f t="shared" si="324"/>
        <v>1-3.42431748160863i</v>
      </c>
      <c r="X402" s="18">
        <f t="shared" si="338"/>
        <v>3.5673449811940627</v>
      </c>
      <c r="Y402" s="18">
        <f t="shared" si="339"/>
        <v>-1.2866683263655083</v>
      </c>
      <c r="Z402" s="32" t="str">
        <f t="shared" si="325"/>
        <v>0.88034247691934+0.824462448993456i</v>
      </c>
      <c r="AA402" s="18">
        <f t="shared" si="340"/>
        <v>1.2061265300410093</v>
      </c>
      <c r="AB402" s="18">
        <f t="shared" si="341"/>
        <v>0.75263193450742116</v>
      </c>
      <c r="AC402" s="32" t="str">
        <f>IMDIV(IMSUM(COMPLEX(0,2*PI()*O402*Constants!$B$61*Constants!$B$62),COMPLEX(1,0)),IMSUM(COMPLEX(0,2*PI()*O402*Constants!$B$61*Constants!$B$62),COMPLEX(2,0)))</f>
        <v>0.71523314930231+0.247570729474557i</v>
      </c>
      <c r="AD402" s="18">
        <f t="shared" si="342"/>
        <v>0.75686836633159982</v>
      </c>
      <c r="AE402" s="18">
        <f t="shared" si="343"/>
        <v>0.33323184553586971</v>
      </c>
      <c r="AF402" s="66" t="str">
        <f t="shared" si="344"/>
        <v>-0.25460720800219-0.0624627754521681i</v>
      </c>
      <c r="AG402" s="64">
        <f t="shared" si="345"/>
        <v>-11.628762232841755</v>
      </c>
      <c r="AH402" s="61">
        <f t="shared" si="346"/>
        <v>-166.21586604170821</v>
      </c>
      <c r="AI402" s="50" t="str">
        <f t="shared" si="326"/>
        <v>107.538871525172</v>
      </c>
      <c r="AJ402" s="50" t="str">
        <f t="shared" si="327"/>
        <v>1+323.900666544175i</v>
      </c>
      <c r="AK402" s="50">
        <f t="shared" si="347"/>
        <v>323.90221022364273</v>
      </c>
      <c r="AL402" s="50">
        <f t="shared" si="348"/>
        <v>1.567708970311779</v>
      </c>
      <c r="AM402" s="50" t="str">
        <f t="shared" si="328"/>
        <v>1+0.391221197237669i</v>
      </c>
      <c r="AN402" s="50">
        <f t="shared" si="349"/>
        <v>1.0738035319219597</v>
      </c>
      <c r="AO402" s="50">
        <f t="shared" si="350"/>
        <v>0.37291561048466887</v>
      </c>
      <c r="AP402" s="50" t="str">
        <f t="shared" si="329"/>
        <v>1-1.12482875098849i</v>
      </c>
      <c r="AQ402" s="50">
        <f t="shared" si="351"/>
        <v>1.5050713335421435</v>
      </c>
      <c r="AR402" s="50">
        <f t="shared" si="352"/>
        <v>-0.8440783939148111</v>
      </c>
      <c r="AS402" s="59" t="str">
        <f t="shared" si="353"/>
        <v>-0.242088001554611-0.478863406819494i</v>
      </c>
      <c r="AT402" s="50">
        <f t="shared" si="354"/>
        <v>-5.4073304919763254</v>
      </c>
      <c r="AU402" s="61">
        <f t="shared" si="355"/>
        <v>-116.81874645784862</v>
      </c>
      <c r="AV402" s="32" t="str">
        <f t="shared" si="330"/>
        <v>-0.0000333333333333333</v>
      </c>
      <c r="AW402" s="32" t="str">
        <f t="shared" si="331"/>
        <v>0.0208651305193423i</v>
      </c>
      <c r="AX402" s="32">
        <f t="shared" si="356"/>
        <v>2.0865130519342301E-2</v>
      </c>
      <c r="AY402" s="32">
        <f t="shared" si="357"/>
        <v>1.5707963267948966</v>
      </c>
      <c r="AZ402" s="32" t="str">
        <f t="shared" si="332"/>
        <v>1+8.51268345841224i</v>
      </c>
      <c r="BA402" s="32">
        <f t="shared" si="358"/>
        <v>8.5712180968124585</v>
      </c>
      <c r="BB402" s="32">
        <f t="shared" si="359"/>
        <v>1.45386048076999</v>
      </c>
      <c r="BC402" s="32" t="str">
        <f t="shared" si="333"/>
        <v>1+408.608806003788i</v>
      </c>
      <c r="BD402" s="32">
        <f t="shared" si="360"/>
        <v>408.61002966623477</v>
      </c>
      <c r="BE402" s="32">
        <f t="shared" si="361"/>
        <v>1.5683490031228622</v>
      </c>
      <c r="BF402" s="59" t="str">
        <f t="shared" si="362"/>
        <v>-0.00870035333010372+0.0756609155731259i</v>
      </c>
      <c r="BG402" s="50">
        <f t="shared" si="363"/>
        <v>-22.365517677799957</v>
      </c>
      <c r="BH402" s="61">
        <f t="shared" si="364"/>
        <v>96.559709133508747</v>
      </c>
      <c r="BI402" s="59" t="str">
        <f t="shared" si="365"/>
        <v>0.00694116344995988-0.0187203662525502i</v>
      </c>
      <c r="BJ402" s="64">
        <f t="shared" si="366"/>
        <v>-33.994279910641708</v>
      </c>
      <c r="BK402" s="61">
        <f t="shared" si="367"/>
        <v>-69.656156908199421</v>
      </c>
      <c r="BL402" s="59" t="str">
        <f t="shared" si="371"/>
        <v>0.038337494944933-0.0141503190107034i</v>
      </c>
      <c r="BM402" s="64">
        <f t="shared" si="368"/>
        <v>-27.772848169776282</v>
      </c>
      <c r="BN402" s="61">
        <f t="shared" si="372"/>
        <v>-20.259037324339857</v>
      </c>
      <c r="BO402" s="50">
        <f t="shared" si="369"/>
        <v>-33.994279910641708</v>
      </c>
      <c r="BP402" s="61">
        <f t="shared" si="370"/>
        <v>-69.656156908199421</v>
      </c>
    </row>
    <row r="403" spans="14:68" x14ac:dyDescent="0.25">
      <c r="N403" s="11">
        <v>85</v>
      </c>
      <c r="O403" s="51">
        <f t="shared" si="373"/>
        <v>70794.578438413781</v>
      </c>
      <c r="P403" s="49" t="str">
        <f t="shared" ref="P403:P466" si="374">COMPLEX(Adc,0)</f>
        <v>37.1583961085025</v>
      </c>
      <c r="Q403" s="18" t="str">
        <f t="shared" ref="Q403:Q466" si="375">IMSUM(COMPLEX(1,0),IMDIV(COMPLEX(0,2*PI()*O403),COMPLEX(wp_lf,0)))</f>
        <v>1+348.650765326908i</v>
      </c>
      <c r="R403" s="18">
        <f t="shared" si="334"/>
        <v>348.65219942377917</v>
      </c>
      <c r="S403" s="18">
        <f t="shared" si="335"/>
        <v>1.5679281350188476</v>
      </c>
      <c r="T403" s="18" t="str">
        <f t="shared" ref="T403:T466" si="376">IMSUM(COMPLEX(1,0),IMDIV(COMPLEX(0,2*PI()*O403),COMPLEX(wz_esr,0)))</f>
        <v>1+0.400333909564993i</v>
      </c>
      <c r="U403" s="18">
        <f t="shared" si="336"/>
        <v>1.0771570169420945</v>
      </c>
      <c r="V403" s="18">
        <f t="shared" si="337"/>
        <v>0.38079419703774608</v>
      </c>
      <c r="W403" s="32" t="str">
        <f t="shared" ref="W403:W466" si="377">IMSUB(COMPLEX(1,0),IMDIV(COMPLEX(0,2*PI()*O403),COMPLEX(wz_rhp,0)))</f>
        <v>1-3.50408008227459i</v>
      </c>
      <c r="X403" s="18">
        <f t="shared" si="338"/>
        <v>3.6439782138472641</v>
      </c>
      <c r="Y403" s="18">
        <f t="shared" si="339"/>
        <v>-1.292804267000397</v>
      </c>
      <c r="Z403" s="32" t="str">
        <f t="shared" ref="Z403:Z466" si="378">IMSUM(COMPLEX(1,0),IMDIV(COMPLEX(0,2*PI()*O403),COMPLEX(Q*(wsl/2),0)),IMDIV(IMPOWER(COMPLEX(0,2*PI()*O403),2),IMPOWER(COMPLEX(wsl/2,0),2)))</f>
        <v>0.874703191593182+0.843666646453632i</v>
      </c>
      <c r="AA403" s="18">
        <f t="shared" si="340"/>
        <v>1.2152691404465172</v>
      </c>
      <c r="AB403" s="18">
        <f t="shared" si="341"/>
        <v>0.76733850582164997</v>
      </c>
      <c r="AC403" s="32" t="str">
        <f>IMDIV(IMSUM(COMPLEX(0,2*PI()*O403*Constants!$B$61*Constants!$B$62),COMPLEX(1,0)),IMSUM(COMPLEX(0,2*PI()*O403*Constants!$B$61*Constants!$B$62),COMPLEX(2,0)))</f>
        <v>0.720895414266429+0.248300066631641i</v>
      </c>
      <c r="AD403" s="18">
        <f t="shared" si="342"/>
        <v>0.76245860307274627</v>
      </c>
      <c r="AE403" s="18">
        <f t="shared" si="343"/>
        <v>0.33170664265051897</v>
      </c>
      <c r="AF403" s="66" t="str">
        <f t="shared" si="344"/>
        <v>-0.25578445572076-0.0588180896093816i</v>
      </c>
      <c r="AG403" s="64">
        <f t="shared" si="345"/>
        <v>-11.618737267190735</v>
      </c>
      <c r="AH403" s="61">
        <f t="shared" si="346"/>
        <v>-167.04985977981536</v>
      </c>
      <c r="AI403" s="50" t="str">
        <f t="shared" ref="AI403:AI466" si="379">COMPLEX($B$72,0)</f>
        <v>107.538871525172</v>
      </c>
      <c r="AJ403" s="50" t="str">
        <f t="shared" ref="AJ403:AJ466" si="380">IMSUM(COMPLEX(1,0),IMDIV(COMPLEX(0,2*PI()*O403),COMPLEX(wp_lf_DCM,0)))</f>
        <v>1+331.445282269719i</v>
      </c>
      <c r="AK403" s="50">
        <f t="shared" si="347"/>
        <v>331.4467908109138</v>
      </c>
      <c r="AL403" s="50">
        <f t="shared" si="348"/>
        <v>1.5677792466937928</v>
      </c>
      <c r="AM403" s="50" t="str">
        <f t="shared" ref="AM403:AM466" si="381">IMSUM(COMPLEX(1,0),IMDIV(COMPLEX(0,2*PI()*O403),COMPLEX(wz1_dcm,0)))</f>
        <v>1+0.400333909564993i</v>
      </c>
      <c r="AN403" s="50">
        <f t="shared" si="349"/>
        <v>1.0771570169420945</v>
      </c>
      <c r="AO403" s="50">
        <f t="shared" si="350"/>
        <v>0.38079419703774608</v>
      </c>
      <c r="AP403" s="50" t="str">
        <f t="shared" ref="AP403:AP466" si="382">IMSUB(COMPLEX(1,0),IMDIV(COMPLEX(0,2*PI()*O403),COMPLEX(wz2_dcm,0)))</f>
        <v>1-1.15102937840243i</v>
      </c>
      <c r="AQ403" s="50">
        <f t="shared" si="351"/>
        <v>1.5247519896512625</v>
      </c>
      <c r="AR403" s="50">
        <f t="shared" si="352"/>
        <v>-0.85549573128110179</v>
      </c>
      <c r="AS403" s="59" t="str">
        <f t="shared" si="353"/>
        <v>-0.242134239493745-0.474692221669899i</v>
      </c>
      <c r="AT403" s="50">
        <f t="shared" si="354"/>
        <v>-5.4674023975544817</v>
      </c>
      <c r="AU403" s="61">
        <f t="shared" si="355"/>
        <v>-117.02552848428314</v>
      </c>
      <c r="AV403" s="32" t="str">
        <f t="shared" ref="AV403:AV466" si="383">COMPLEX(Adc_ea,0)</f>
        <v>-0.0000333333333333333</v>
      </c>
      <c r="AW403" s="32" t="str">
        <f t="shared" ref="AW403:AW466" si="384">COMPLEX(0,2*PI()*O403*wp0_ea)</f>
        <v>0.0213511418434663i</v>
      </c>
      <c r="AX403" s="32">
        <f t="shared" si="356"/>
        <v>2.1351141843466301E-2</v>
      </c>
      <c r="AY403" s="32">
        <f t="shared" si="357"/>
        <v>1.5707963267948966</v>
      </c>
      <c r="AZ403" s="32" t="str">
        <f t="shared" ref="AZ403:AZ466" si="385">IMSUM(COMPLEX(1,0),IMDIV(COMPLEX(0,2*PI()*O403),COMPLEX(wp1_ea,0)))</f>
        <v>1+8.71096932849753i</v>
      </c>
      <c r="BA403" s="32">
        <f t="shared" si="358"/>
        <v>8.7681803495380226</v>
      </c>
      <c r="BB403" s="32">
        <f t="shared" si="359"/>
        <v>1.4564988784180195</v>
      </c>
      <c r="BC403" s="32" t="str">
        <f t="shared" ref="BC403:BC466" si="386">IMSUM(COMPLEX(1,0),IMDIV(COMPLEX(0,2*PI()*O403),COMPLEX(wz_ea,0)))</f>
        <v>1+418.126527767882i</v>
      </c>
      <c r="BD403" s="32">
        <f t="shared" si="360"/>
        <v>418.1277235764515</v>
      </c>
      <c r="BE403" s="32">
        <f t="shared" si="361"/>
        <v>1.5684047107959582</v>
      </c>
      <c r="BF403" s="59" t="str">
        <f t="shared" si="362"/>
        <v>-0.00831386625820633+0.0739830307301436i</v>
      </c>
      <c r="BG403" s="50">
        <f t="shared" si="363"/>
        <v>-22.562857410567272</v>
      </c>
      <c r="BH403" s="61">
        <f t="shared" si="364"/>
        <v>96.411731898154329</v>
      </c>
      <c r="BI403" s="59" t="str">
        <f t="shared" si="365"/>
        <v>0.00647809828684972-0.0184347035173064i</v>
      </c>
      <c r="BJ403" s="64">
        <f t="shared" si="366"/>
        <v>-34.181594677758021</v>
      </c>
      <c r="BK403" s="61">
        <f t="shared" si="367"/>
        <v>-70.638127881660992</v>
      </c>
      <c r="BL403" s="59" t="str">
        <f t="shared" si="371"/>
        <v>0.0371322409068478-0.0139672972365113i</v>
      </c>
      <c r="BM403" s="64">
        <f t="shared" si="368"/>
        <v>-28.030259808121745</v>
      </c>
      <c r="BN403" s="61">
        <f t="shared" si="372"/>
        <v>-20.613796586128792</v>
      </c>
      <c r="BO403" s="50">
        <f t="shared" si="369"/>
        <v>-34.181594677758021</v>
      </c>
      <c r="BP403" s="61">
        <f t="shared" si="370"/>
        <v>-70.638127881660992</v>
      </c>
    </row>
    <row r="404" spans="14:68" x14ac:dyDescent="0.25">
      <c r="N404" s="11">
        <v>86</v>
      </c>
      <c r="O404" s="51">
        <f t="shared" si="373"/>
        <v>72443.596007499116</v>
      </c>
      <c r="P404" s="49" t="str">
        <f t="shared" si="374"/>
        <v>37.1583961085025</v>
      </c>
      <c r="Q404" s="18" t="str">
        <f t="shared" si="375"/>
        <v>1+356.771884912347i</v>
      </c>
      <c r="R404" s="18">
        <f t="shared" ref="R404:R467" si="387">IMABS(Q404)</f>
        <v>356.77328636531763</v>
      </c>
      <c r="S404" s="18">
        <f t="shared" ref="S404:S467" si="388">IMARGUMENT(Q404)</f>
        <v>1.5679934226885734</v>
      </c>
      <c r="T404" s="18" t="str">
        <f t="shared" si="376"/>
        <v>1+0.409658884230215i</v>
      </c>
      <c r="U404" s="18">
        <f t="shared" ref="U404:U467" si="389">IMABS(T404)</f>
        <v>1.080657393177294</v>
      </c>
      <c r="V404" s="18">
        <f t="shared" ref="V404:V467" si="390">IMARGUMENT(T404)</f>
        <v>0.38880516992436881</v>
      </c>
      <c r="W404" s="32" t="str">
        <f t="shared" si="377"/>
        <v>1-3.58570059258216i</v>
      </c>
      <c r="X404" s="18">
        <f t="shared" ref="X404:X467" si="391">IMABS(W404)</f>
        <v>3.7225325706626196</v>
      </c>
      <c r="Y404" s="18">
        <f t="shared" ref="Y404:Y467" si="392">IMARGUMENT(W404)</f>
        <v>-1.2988213728058757</v>
      </c>
      <c r="Z404" s="32" t="str">
        <f t="shared" si="378"/>
        <v>0.868798134937557+0.863318167137007i</v>
      </c>
      <c r="AA404" s="18">
        <f t="shared" ref="AA404:AA467" si="393">IMABS(Z404)</f>
        <v>1.2247973126112659</v>
      </c>
      <c r="AB404" s="18">
        <f t="shared" ref="AB404:AB467" si="394">IMARGUMENT(Z404)</f>
        <v>0.78223443269955895</v>
      </c>
      <c r="AC404" s="32" t="str">
        <f>IMDIV(IMSUM(COMPLEX(0,2*PI()*O404*Constants!$B$61*Constants!$B$62),COMPLEX(1,0)),IMSUM(COMPLEX(0,2*PI()*O404*Constants!$B$61*Constants!$B$62),COMPLEX(2,0)))</f>
        <v>0.726588112322831+0.248901352980235i</v>
      </c>
      <c r="AD404" s="18">
        <f t="shared" ref="AD404:AD467" si="395">IMABS(AC404)</f>
        <v>0.76803786917328909</v>
      </c>
      <c r="AE404" s="18">
        <f t="shared" ref="AE404:AE467" si="396">IMARGUMENT(AC404)</f>
        <v>0.33003308035844486</v>
      </c>
      <c r="AF404" s="66" t="str">
        <f t="shared" ref="AF404:AF467" si="397">(IMDIV(IMPRODUCT(P404,T404,W404,AC404),IMPRODUCT(Q404,Z404)))</f>
        <v>-0.256882091164671-0.0551236383687355i</v>
      </c>
      <c r="AG404" s="64">
        <f t="shared" ref="AG404:AG467" si="398">20*LOG(IMABS(AF404))</f>
        <v>-11.609808484975645</v>
      </c>
      <c r="AH404" s="61">
        <f t="shared" ref="AH404:AH467" si="399">(180/PI())*IMARGUMENT(AF404)</f>
        <v>-167.88872211721309</v>
      </c>
      <c r="AI404" s="50" t="str">
        <f t="shared" si="379"/>
        <v>107.538871525172</v>
      </c>
      <c r="AJ404" s="50" t="str">
        <f t="shared" si="380"/>
        <v>1+339.165634671121i</v>
      </c>
      <c r="AK404" s="50">
        <f t="shared" ref="AK404:AK467" si="400">IMABS(AJ404)</f>
        <v>339.16710887387694</v>
      </c>
      <c r="AL404" s="50">
        <f t="shared" ref="AL404:AL467" si="401">IMARGUMENT(AJ404)</f>
        <v>1.5678479234188476</v>
      </c>
      <c r="AM404" s="50" t="str">
        <f t="shared" si="381"/>
        <v>1+0.409658884230215i</v>
      </c>
      <c r="AN404" s="50">
        <f t="shared" ref="AN404:AN467" si="402">IMABS(AM404)</f>
        <v>1.080657393177294</v>
      </c>
      <c r="AO404" s="50">
        <f t="shared" ref="AO404:AO467" si="403">IMARGUMENT(AM404)</f>
        <v>0.38880516992436881</v>
      </c>
      <c r="AP404" s="50" t="str">
        <f t="shared" si="382"/>
        <v>1-1.17784029682848i</v>
      </c>
      <c r="AQ404" s="50">
        <f t="shared" ref="AQ404:AQ467" si="404">IMABS(AP404)</f>
        <v>1.5450915069448159</v>
      </c>
      <c r="AR404" s="50">
        <f t="shared" ref="AR404:AR467" si="405">IMARGUMENT(AP404)</f>
        <v>-0.86687639660953963</v>
      </c>
      <c r="AS404" s="59" t="str">
        <f t="shared" ref="AS404:AS467" si="406">(IMDIV(IMPRODUCT(AI404,AM404,AP404),IMPRODUCT(AJ404)))</f>
        <v>-0.242178396419845-0.470772712058883i</v>
      </c>
      <c r="AT404" s="50">
        <f t="shared" ref="AT404:AT467" si="407">20*LOG(IMABS(AS404))</f>
        <v>-5.5241204059204874</v>
      </c>
      <c r="AU404" s="61">
        <f t="shared" ref="AU404:AU467" si="408">(180/PI())*IMARGUMENT(AS404)</f>
        <v>-117.22253252595257</v>
      </c>
      <c r="AV404" s="32" t="str">
        <f t="shared" si="383"/>
        <v>-0.0000333333333333333</v>
      </c>
      <c r="AW404" s="32" t="str">
        <f t="shared" si="384"/>
        <v>0.0218484738256115i</v>
      </c>
      <c r="AX404" s="32">
        <f t="shared" ref="AX404:AX467" si="409">IMABS(AW404)</f>
        <v>2.18484738256115E-2</v>
      </c>
      <c r="AY404" s="32">
        <f t="shared" ref="AY404:AY467" si="410">IMARGUMENT(AW404)</f>
        <v>1.5707963267948966</v>
      </c>
      <c r="AZ404" s="32" t="str">
        <f t="shared" si="385"/>
        <v>1+8.91387386982413i</v>
      </c>
      <c r="BA404" s="32">
        <f t="shared" ref="BA404:BA467" si="411">IMABS(AZ404)</f>
        <v>8.9697908207010819</v>
      </c>
      <c r="BB404" s="32">
        <f t="shared" ref="BB404:BB467" si="412">IMARGUMENT(AZ404)</f>
        <v>1.459078764085439</v>
      </c>
      <c r="BC404" s="32" t="str">
        <f t="shared" si="386"/>
        <v>1+427.865945751559i</v>
      </c>
      <c r="BD404" s="32">
        <f t="shared" ref="BD404:BD467" si="413">IMABS(BC404)</f>
        <v>427.86711434027745</v>
      </c>
      <c r="BE404" s="32">
        <f t="shared" ref="BE404:BE467" si="414">IMARGUMENT(BC404)</f>
        <v>1.5684591504219441</v>
      </c>
      <c r="BF404" s="59" t="str">
        <f t="shared" ref="BF404:BF467" si="415">IMPRODUCT(AV404,IMDIV(BC404,IMPRODUCT(AW404,AZ404)))</f>
        <v>-0.00794433138207236+0.0723404274968083i</v>
      </c>
      <c r="BG404" s="50">
        <f t="shared" ref="BG404:BG467" si="416">20*LOG(IMABS(BF404))</f>
        <v>-22.760315351656185</v>
      </c>
      <c r="BH404" s="61">
        <f t="shared" ref="BH404:BH467" si="417">(180/PI())*IMARGUMENT(BF404)</f>
        <v>96.26703449859211</v>
      </c>
      <c r="BI404" s="59" t="str">
        <f t="shared" ref="BI404:BI467" si="418">IMPRODUCT(AF404,BF404)</f>
        <v>0.00602842402310566-0.0181450398409396i</v>
      </c>
      <c r="BJ404" s="64">
        <f t="shared" ref="BJ404:BJ467" si="419">20*LOG(IMABS(BI404))</f>
        <v>-34.370123836631848</v>
      </c>
      <c r="BK404" s="61">
        <f t="shared" ref="BK404:BK467" si="420">(180/PI())*IMARGUMENT(BI404)</f>
        <v>-71.621687618620925</v>
      </c>
      <c r="BL404" s="59" t="str">
        <f t="shared" si="371"/>
        <v>0.0359798446789096-0.0137793142972704i</v>
      </c>
      <c r="BM404" s="64">
        <f t="shared" ref="BM404:BM467" si="421">20*LOG(IMABS(BL404))</f>
        <v>-28.28443575757667</v>
      </c>
      <c r="BN404" s="61">
        <f t="shared" si="372"/>
        <v>-20.955498027360431</v>
      </c>
      <c r="BO404" s="50">
        <f t="shared" ref="BO404:BO467" si="422">IF($B$31=0,BM404,BJ404)</f>
        <v>-34.370123836631848</v>
      </c>
      <c r="BP404" s="61">
        <f t="shared" ref="BP404:BP467" si="423">IF($B$31=0,BN404,BK404)</f>
        <v>-71.621687618620925</v>
      </c>
    </row>
    <row r="405" spans="14:68" x14ac:dyDescent="0.25">
      <c r="N405" s="11">
        <v>87</v>
      </c>
      <c r="O405" s="51">
        <f t="shared" si="373"/>
        <v>74131.024130091857</v>
      </c>
      <c r="P405" s="49" t="str">
        <f t="shared" si="374"/>
        <v>37.1583961085025</v>
      </c>
      <c r="Q405" s="18" t="str">
        <f t="shared" si="375"/>
        <v>1+365.082169673601i</v>
      </c>
      <c r="R405" s="18">
        <f t="shared" si="387"/>
        <v>365.08353922572843</v>
      </c>
      <c r="S405" s="18">
        <f t="shared" si="388"/>
        <v>1.5680572242525881</v>
      </c>
      <c r="T405" s="18" t="str">
        <f t="shared" si="376"/>
        <v>1+0.419201065458332i</v>
      </c>
      <c r="U405" s="18">
        <f t="shared" si="389"/>
        <v>1.0843106258270279</v>
      </c>
      <c r="V405" s="18">
        <f t="shared" si="390"/>
        <v>0.39694866274854729</v>
      </c>
      <c r="W405" s="32" t="str">
        <f t="shared" si="377"/>
        <v>1-3.66922228880628i</v>
      </c>
      <c r="X405" s="18">
        <f t="shared" si="391"/>
        <v>3.8030503815585717</v>
      </c>
      <c r="Y405" s="18">
        <f t="shared" si="392"/>
        <v>-1.3047210906239739</v>
      </c>
      <c r="Z405" s="32" t="str">
        <f t="shared" si="378"/>
        <v>0.862614781535594+0.883427430539966i</v>
      </c>
      <c r="AA405" s="18">
        <f t="shared" si="393"/>
        <v>1.2347259964681017</v>
      </c>
      <c r="AB405" s="18">
        <f t="shared" si="394"/>
        <v>0.79731749915548633</v>
      </c>
      <c r="AC405" s="32" t="str">
        <f>IMDIV(IMSUM(COMPLEX(0,2*PI()*O405*Constants!$B$61*Constants!$B$62),COMPLEX(1,0)),IMSUM(COMPLEX(0,2*PI()*O405*Constants!$B$61*Constants!$B$62),COMPLEX(2,0)))</f>
        <v>0.732305409570778+0.249373016723025i</v>
      </c>
      <c r="AD405" s="18">
        <f t="shared" si="395"/>
        <v>0.77360074609333662</v>
      </c>
      <c r="AE405" s="18">
        <f t="shared" si="396"/>
        <v>0.32821480238433021</v>
      </c>
      <c r="AF405" s="66" t="str">
        <f t="shared" si="397"/>
        <v>-0.257895556918484-0.0513819365426044i</v>
      </c>
      <c r="AG405" s="64">
        <f t="shared" si="398"/>
        <v>-11.602064232950664</v>
      </c>
      <c r="AH405" s="61">
        <f t="shared" si="399"/>
        <v>-168.73219454347054</v>
      </c>
      <c r="AI405" s="50" t="str">
        <f t="shared" si="379"/>
        <v>107.538871525172</v>
      </c>
      <c r="AJ405" s="50" t="str">
        <f t="shared" si="380"/>
        <v>1+347.065817181412i</v>
      </c>
      <c r="AK405" s="50">
        <f t="shared" si="400"/>
        <v>347.06725782735725</v>
      </c>
      <c r="AL405" s="50">
        <f t="shared" si="401"/>
        <v>1.5679150368976591</v>
      </c>
      <c r="AM405" s="50" t="str">
        <f t="shared" si="381"/>
        <v>1+0.419201065458332i</v>
      </c>
      <c r="AN405" s="50">
        <f t="shared" si="402"/>
        <v>1.0843106258270279</v>
      </c>
      <c r="AO405" s="50">
        <f t="shared" si="403"/>
        <v>0.39694866274854729</v>
      </c>
      <c r="AP405" s="50" t="str">
        <f t="shared" si="382"/>
        <v>1-1.20527572177047i</v>
      </c>
      <c r="AQ405" s="50">
        <f t="shared" si="404"/>
        <v>1.566106498769904</v>
      </c>
      <c r="AR405" s="50">
        <f t="shared" si="405"/>
        <v>-0.87821463279427525</v>
      </c>
      <c r="AS405" s="59" t="str">
        <f t="shared" si="406"/>
        <v>-0.242220565990669-0.46710280064892i</v>
      </c>
      <c r="AT405" s="50">
        <f t="shared" si="407"/>
        <v>-5.5774632835657947</v>
      </c>
      <c r="AU405" s="61">
        <f t="shared" si="408"/>
        <v>-117.40942315622428</v>
      </c>
      <c r="AV405" s="32" t="str">
        <f t="shared" si="383"/>
        <v>-0.0000333333333333333</v>
      </c>
      <c r="AW405" s="32" t="str">
        <f t="shared" si="384"/>
        <v>0.0223573901577777i</v>
      </c>
      <c r="AX405" s="32">
        <f t="shared" si="409"/>
        <v>2.2357390157777698E-2</v>
      </c>
      <c r="AY405" s="32">
        <f t="shared" si="410"/>
        <v>1.5707963267948966</v>
      </c>
      <c r="AZ405" s="32" t="str">
        <f t="shared" si="385"/>
        <v>1+9.12150466506557i</v>
      </c>
      <c r="BA405" s="32">
        <f t="shared" si="411"/>
        <v>9.1761564587147788</v>
      </c>
      <c r="BB405" s="32">
        <f t="shared" si="412"/>
        <v>1.4616013682176023</v>
      </c>
      <c r="BC405" s="32" t="str">
        <f t="shared" si="386"/>
        <v>1+437.832223923148i</v>
      </c>
      <c r="BD405" s="32">
        <f t="shared" si="413"/>
        <v>437.8333659116098</v>
      </c>
      <c r="BE405" s="32">
        <f t="shared" si="414"/>
        <v>1.5685123508641385</v>
      </c>
      <c r="BF405" s="59" t="str">
        <f t="shared" si="415"/>
        <v>-0.00759102395992989+0.0707324917882079i</v>
      </c>
      <c r="BG405" s="50">
        <f t="shared" si="416"/>
        <v>-22.957886313231608</v>
      </c>
      <c r="BH405" s="61">
        <f t="shared" si="417"/>
        <v>96.125548089242926</v>
      </c>
      <c r="BI405" s="59" t="str">
        <f t="shared" si="418"/>
        <v>0.00559206375628966-0.0178515538505495i</v>
      </c>
      <c r="BJ405" s="64">
        <f t="shared" si="419"/>
        <v>-34.559950546182257</v>
      </c>
      <c r="BK405" s="61">
        <f t="shared" si="420"/>
        <v>-72.606646454227672</v>
      </c>
      <c r="BL405" s="59" t="str">
        <f t="shared" si="371"/>
        <v>0.0348780471311716-0.0135870756433938i</v>
      </c>
      <c r="BM405" s="64">
        <f t="shared" si="421"/>
        <v>-28.535349596797396</v>
      </c>
      <c r="BN405" s="61">
        <f t="shared" si="372"/>
        <v>-21.283875066981416</v>
      </c>
      <c r="BO405" s="50">
        <f t="shared" si="422"/>
        <v>-34.559950546182257</v>
      </c>
      <c r="BP405" s="61">
        <f t="shared" si="423"/>
        <v>-72.606646454227672</v>
      </c>
    </row>
    <row r="406" spans="14:68" x14ac:dyDescent="0.25">
      <c r="N406" s="11">
        <v>88</v>
      </c>
      <c r="O406" s="51">
        <f t="shared" si="373"/>
        <v>75857.757502918481</v>
      </c>
      <c r="P406" s="49" t="str">
        <f t="shared" si="374"/>
        <v>37.1583961085025</v>
      </c>
      <c r="Q406" s="18" t="str">
        <f t="shared" si="375"/>
        <v>1+373.586025833649i</v>
      </c>
      <c r="R406" s="18">
        <f t="shared" si="387"/>
        <v>373.58736421107693</v>
      </c>
      <c r="S406" s="18">
        <f t="shared" si="388"/>
        <v>1.5681195735372464</v>
      </c>
      <c r="T406" s="18" t="str">
        <f t="shared" si="376"/>
        <v>1+0.428965512640136i</v>
      </c>
      <c r="U406" s="18">
        <f t="shared" si="389"/>
        <v>1.0881228841608905</v>
      </c>
      <c r="V406" s="18">
        <f t="shared" si="390"/>
        <v>0.40522467186733163</v>
      </c>
      <c r="W406" s="32" t="str">
        <f t="shared" si="377"/>
        <v>1-3.75468945525581i</v>
      </c>
      <c r="X406" s="18">
        <f t="shared" si="391"/>
        <v>3.8855749774530373</v>
      </c>
      <c r="Y406" s="18">
        <f t="shared" si="392"/>
        <v>-1.3105049051092277</v>
      </c>
      <c r="Z406" s="32" t="str">
        <f t="shared" si="378"/>
        <v>0.856140015665711+0.904005098860138i</v>
      </c>
      <c r="AA406" s="18">
        <f t="shared" si="393"/>
        <v>1.2450706587134772</v>
      </c>
      <c r="AB406" s="18">
        <f t="shared" si="394"/>
        <v>0.81258529087957732</v>
      </c>
      <c r="AC406" s="32" t="str">
        <f>IMDIV(IMSUM(COMPLEX(0,2*PI()*O406*Constants!$B$61*Constants!$B$62),COMPLEX(1,0)),IMSUM(COMPLEX(0,2*PI()*O406*Constants!$B$61*Constants!$B$62),COMPLEX(2,0)))</f>
        <v>0.738041369260034+0.249713818501951i</v>
      </c>
      <c r="AD406" s="18">
        <f t="shared" si="395"/>
        <v>0.77914187019441539</v>
      </c>
      <c r="AE406" s="18">
        <f t="shared" si="396"/>
        <v>0.32625572538594955</v>
      </c>
      <c r="AF406" s="66" t="str">
        <f t="shared" si="397"/>
        <v>-0.258820480066299-0.0475958346692408i</v>
      </c>
      <c r="AG406" s="64">
        <f t="shared" si="398"/>
        <v>-11.595588725604312</v>
      </c>
      <c r="AH406" s="61">
        <f t="shared" si="399"/>
        <v>-169.58000153213428</v>
      </c>
      <c r="AI406" s="50" t="str">
        <f t="shared" si="379"/>
        <v>107.538871525172</v>
      </c>
      <c r="AJ406" s="50" t="str">
        <f t="shared" si="380"/>
        <v>1+355.150018581932i</v>
      </c>
      <c r="AK406" s="50">
        <f t="shared" si="400"/>
        <v>355.15142643490344</v>
      </c>
      <c r="AL406" s="50">
        <f t="shared" si="401"/>
        <v>1.5679806227122624</v>
      </c>
      <c r="AM406" s="50" t="str">
        <f t="shared" si="381"/>
        <v>1+0.428965512640136i</v>
      </c>
      <c r="AN406" s="50">
        <f t="shared" si="402"/>
        <v>1.0881228841608905</v>
      </c>
      <c r="AO406" s="50">
        <f t="shared" si="403"/>
        <v>0.40522467186733163</v>
      </c>
      <c r="AP406" s="50" t="str">
        <f t="shared" si="382"/>
        <v>1-1.23335019985385i</v>
      </c>
      <c r="AQ406" s="50">
        <f t="shared" si="404"/>
        <v>1.587813816377579</v>
      </c>
      <c r="AR406" s="50">
        <f t="shared" si="405"/>
        <v>-0.88950479156575835</v>
      </c>
      <c r="AS406" s="59" t="str">
        <f t="shared" si="406"/>
        <v>-0.242260837648965-0.463680542386805i</v>
      </c>
      <c r="AT406" s="50">
        <f t="shared" si="407"/>
        <v>-5.6274113571940152</v>
      </c>
      <c r="AU406" s="61">
        <f t="shared" si="408"/>
        <v>-117.58587900051744</v>
      </c>
      <c r="AV406" s="32" t="str">
        <f t="shared" si="383"/>
        <v>-0.0000333333333333333</v>
      </c>
      <c r="AW406" s="32" t="str">
        <f t="shared" si="384"/>
        <v>0.0228781606741406i</v>
      </c>
      <c r="AX406" s="32">
        <f t="shared" si="409"/>
        <v>2.2878160674140599E-2</v>
      </c>
      <c r="AY406" s="32">
        <f t="shared" si="410"/>
        <v>1.5707963267948966</v>
      </c>
      <c r="AZ406" s="32" t="str">
        <f t="shared" si="385"/>
        <v>1+9.33397180281779i</v>
      </c>
      <c r="BA406" s="32">
        <f t="shared" si="411"/>
        <v>9.3873867298517943</v>
      </c>
      <c r="BB406" s="32">
        <f t="shared" si="412"/>
        <v>1.4640678998415528</v>
      </c>
      <c r="BC406" s="32" t="str">
        <f t="shared" si="386"/>
        <v>1+448.030646535254i</v>
      </c>
      <c r="BD406" s="32">
        <f t="shared" si="413"/>
        <v>448.03176252895031</v>
      </c>
      <c r="BE406" s="32">
        <f t="shared" si="414"/>
        <v>1.5685643403289151</v>
      </c>
      <c r="BF406" s="59" t="str">
        <f t="shared" si="415"/>
        <v>-0.00725324859491846+0.0691586114485566i</v>
      </c>
      <c r="BG406" s="50">
        <f t="shared" si="416"/>
        <v>-23.155565329506178</v>
      </c>
      <c r="BH406" s="61">
        <f t="shared" si="417"/>
        <v>95.98720501406585</v>
      </c>
      <c r="BI406" s="59" t="str">
        <f t="shared" si="418"/>
        <v>0.00516895111983677-0.0175544405948954i</v>
      </c>
      <c r="BJ406" s="64">
        <f t="shared" si="419"/>
        <v>-34.75115405511049</v>
      </c>
      <c r="BK406" s="61">
        <f t="shared" si="420"/>
        <v>-73.592796518068397</v>
      </c>
      <c r="BL406" s="59" t="str">
        <f t="shared" si="371"/>
        <v>0.0338246805474662-0.0133912328976085i</v>
      </c>
      <c r="BM406" s="64">
        <f t="shared" si="421"/>
        <v>-28.782976686700184</v>
      </c>
      <c r="BN406" s="61">
        <f t="shared" si="372"/>
        <v>-21.598673986451555</v>
      </c>
      <c r="BO406" s="50">
        <f t="shared" si="422"/>
        <v>-34.75115405511049</v>
      </c>
      <c r="BP406" s="61">
        <f t="shared" si="423"/>
        <v>-73.592796518068397</v>
      </c>
    </row>
    <row r="407" spans="14:68" x14ac:dyDescent="0.25">
      <c r="N407" s="11">
        <v>89</v>
      </c>
      <c r="O407" s="51">
        <f t="shared" si="373"/>
        <v>77624.711662869129</v>
      </c>
      <c r="P407" s="49" t="str">
        <f t="shared" si="374"/>
        <v>37.1583961085025</v>
      </c>
      <c r="Q407" s="18" t="str">
        <f t="shared" si="375"/>
        <v>1+382.287962249589i</v>
      </c>
      <c r="R407" s="18">
        <f t="shared" si="387"/>
        <v>382.28927016193268</v>
      </c>
      <c r="S407" s="18">
        <f t="shared" si="388"/>
        <v>1.5681805035990242</v>
      </c>
      <c r="T407" s="18" t="str">
        <f t="shared" si="376"/>
        <v>1+0.438957403014772i</v>
      </c>
      <c r="U407" s="18">
        <f t="shared" si="389"/>
        <v>1.0921005455824446</v>
      </c>
      <c r="V407" s="18">
        <f t="shared" si="390"/>
        <v>0.41363304953392915</v>
      </c>
      <c r="W407" s="32" t="str">
        <f t="shared" si="377"/>
        <v>1-3.84214740775371i</v>
      </c>
      <c r="X407" s="18">
        <f t="shared" si="391"/>
        <v>3.9701507153896003</v>
      </c>
      <c r="Y407" s="18">
        <f t="shared" si="392"/>
        <v>-1.3161743344215839</v>
      </c>
      <c r="Z407" s="32" t="str">
        <f t="shared" si="378"/>
        <v>0.849360103481411+0.925062082649648i</v>
      </c>
      <c r="AA407" s="18">
        <f t="shared" si="393"/>
        <v>1.2558473004876261</v>
      </c>
      <c r="AB407" s="18">
        <f t="shared" si="394"/>
        <v>0.82803519809017267</v>
      </c>
      <c r="AC407" s="32" t="str">
        <f>IMDIV(IMSUM(COMPLEX(0,2*PI()*O407*Constants!$B$61*Constants!$B$62),COMPLEX(1,0)),IMSUM(COMPLEX(0,2*PI()*O407*Constants!$B$61*Constants!$B$62),COMPLEX(2,0)))</f>
        <v>0.743789976167244+0.24992285930662i</v>
      </c>
      <c r="AD407" s="18">
        <f t="shared" si="395"/>
        <v>0.78465595279132749</v>
      </c>
      <c r="AE407" s="18">
        <f t="shared" si="396"/>
        <v>0.32416002022523976</v>
      </c>
      <c r="AF407" s="66" t="str">
        <f t="shared" si="397"/>
        <v>-0.259652699698994-0.0437685050740386i</v>
      </c>
      <c r="AG407" s="64">
        <f t="shared" si="398"/>
        <v>-11.590461866728795</v>
      </c>
      <c r="AH407" s="61">
        <f t="shared" si="399"/>
        <v>-170.43185192436542</v>
      </c>
      <c r="AI407" s="50" t="str">
        <f t="shared" si="379"/>
        <v>107.538871525172</v>
      </c>
      <c r="AJ407" s="50" t="str">
        <f t="shared" si="380"/>
        <v>1+363.42252522327i</v>
      </c>
      <c r="AK407" s="50">
        <f t="shared" si="400"/>
        <v>363.42390102971802</v>
      </c>
      <c r="AL407" s="50">
        <f t="shared" si="401"/>
        <v>1.5680447156348662</v>
      </c>
      <c r="AM407" s="50" t="str">
        <f t="shared" si="381"/>
        <v>1+0.438957403014772i</v>
      </c>
      <c r="AN407" s="50">
        <f t="shared" si="402"/>
        <v>1.0921005455824446</v>
      </c>
      <c r="AO407" s="50">
        <f t="shared" si="403"/>
        <v>0.41363304953392915</v>
      </c>
      <c r="AP407" s="50" t="str">
        <f t="shared" si="382"/>
        <v>1-1.26207861653851i</v>
      </c>
      <c r="AQ407" s="50">
        <f t="shared" si="404"/>
        <v>1.6102305531580747</v>
      </c>
      <c r="AR407" s="50">
        <f t="shared" si="405"/>
        <v>-0.90074134679726969</v>
      </c>
      <c r="AS407" s="59" t="str">
        <f t="shared" si="406"/>
        <v>-0.242299296812157-0.460504123476087i</v>
      </c>
      <c r="AT407" s="50">
        <f t="shared" si="407"/>
        <v>-5.6739464814737692</v>
      </c>
      <c r="AU407" s="61">
        <f t="shared" si="408"/>
        <v>-117.75159389266248</v>
      </c>
      <c r="AV407" s="32" t="str">
        <f t="shared" si="383"/>
        <v>-0.0000333333333333333</v>
      </c>
      <c r="AW407" s="32" t="str">
        <f t="shared" si="384"/>
        <v>0.0234110614941212i</v>
      </c>
      <c r="AX407" s="32">
        <f t="shared" si="409"/>
        <v>2.3411061494121199E-2</v>
      </c>
      <c r="AY407" s="32">
        <f t="shared" si="410"/>
        <v>1.5707963267948966</v>
      </c>
      <c r="AZ407" s="32" t="str">
        <f t="shared" si="385"/>
        <v>1+9.55138793596958i</v>
      </c>
      <c r="BA407" s="32">
        <f t="shared" si="411"/>
        <v>9.6035936765038752</v>
      </c>
      <c r="BB407" s="32">
        <f t="shared" si="412"/>
        <v>1.4664795466330425</v>
      </c>
      <c r="BC407" s="32" t="str">
        <f t="shared" si="386"/>
        <v>1+458.466620926541i</v>
      </c>
      <c r="BD407" s="32">
        <f t="shared" si="413"/>
        <v>458.46771151718048</v>
      </c>
      <c r="BE407" s="32">
        <f t="shared" si="414"/>
        <v>1.5686151463806515</v>
      </c>
      <c r="BF407" s="59" t="str">
        <f t="shared" si="415"/>
        <v>-0.00693033819100709+0.0676181769514956i</v>
      </c>
      <c r="BG407" s="50">
        <f t="shared" si="416"/>
        <v>-23.353347647726785</v>
      </c>
      <c r="BH407" s="61">
        <f t="shared" si="417"/>
        <v>95.851938803575436</v>
      </c>
      <c r="BI407" s="59" t="str">
        <f t="shared" si="418"/>
        <v>0.00475902754212081-0.0172539116519022i</v>
      </c>
      <c r="BJ407" s="64">
        <f t="shared" si="419"/>
        <v>-34.943809514455594</v>
      </c>
      <c r="BK407" s="61">
        <f t="shared" si="420"/>
        <v>-74.579913120789953</v>
      </c>
      <c r="BL407" s="59" t="str">
        <f t="shared" si="371"/>
        <v>0.0328176653784509-0.0131923874130248i</v>
      </c>
      <c r="BM407" s="64">
        <f t="shared" si="421"/>
        <v>-29.027294129200556</v>
      </c>
      <c r="BN407" s="61">
        <f t="shared" si="372"/>
        <v>-21.899655089087005</v>
      </c>
      <c r="BO407" s="50">
        <f t="shared" si="422"/>
        <v>-34.943809514455594</v>
      </c>
      <c r="BP407" s="61">
        <f t="shared" si="423"/>
        <v>-74.579913120789953</v>
      </c>
    </row>
    <row r="408" spans="14:68" x14ac:dyDescent="0.25">
      <c r="N408" s="11">
        <v>90</v>
      </c>
      <c r="O408" s="51">
        <f t="shared" si="373"/>
        <v>79432.823472428237</v>
      </c>
      <c r="P408" s="49" t="str">
        <f t="shared" si="374"/>
        <v>37.1583961085025</v>
      </c>
      <c r="Q408" s="18" t="str">
        <f t="shared" si="375"/>
        <v>1+391.192592803295i</v>
      </c>
      <c r="R408" s="18">
        <f t="shared" si="387"/>
        <v>391.19387094401742</v>
      </c>
      <c r="S408" s="18">
        <f t="shared" si="388"/>
        <v>1.5682400467420361</v>
      </c>
      <c r="T408" s="18" t="str">
        <f t="shared" si="376"/>
        <v>1+0.449182034414776i</v>
      </c>
      <c r="U408" s="18">
        <f t="shared" si="389"/>
        <v>1.0962501995625802</v>
      </c>
      <c r="V408" s="18">
        <f t="shared" si="390"/>
        <v>0.42217349709811391</v>
      </c>
      <c r="W408" s="32" t="str">
        <f t="shared" si="377"/>
        <v>1-3.93164251766404i</v>
      </c>
      <c r="X408" s="18">
        <f t="shared" si="391"/>
        <v>4.0568230041133955</v>
      </c>
      <c r="Y408" s="18">
        <f t="shared" si="392"/>
        <v>-1.321730926130628</v>
      </c>
      <c r="Z408" s="32" t="str">
        <f t="shared" si="378"/>
        <v>0.842260663879952+0.946609546600027i</v>
      </c>
      <c r="AA408" s="18">
        <f t="shared" si="393"/>
        <v>1.2670724760777523</v>
      </c>
      <c r="AB408" s="18">
        <f t="shared" si="394"/>
        <v>0.84366441923455215</v>
      </c>
      <c r="AC408" s="32" t="str">
        <f>IMDIV(IMSUM(COMPLEX(0,2*PI()*O408*Constants!$B$61*Constants!$B$62),COMPLEX(1,0)),IMSUM(COMPLEX(0,2*PI()*O408*Constants!$B$61*Constants!$B$62),COMPLEX(2,0)))</f>
        <v>0.749545161670806+0.249999586243846i</v>
      </c>
      <c r="AD408" s="18">
        <f t="shared" si="395"/>
        <v>0.79013779969459053</v>
      </c>
      <c r="AE408" s="18">
        <f t="shared" si="396"/>
        <v>0.32193209233348108</v>
      </c>
      <c r="AF408" s="66" t="str">
        <f t="shared" si="397"/>
        <v>-0.26038829321078-0.03990342515031i</v>
      </c>
      <c r="AG408" s="64">
        <f t="shared" si="398"/>
        <v>-11.58675909215768</v>
      </c>
      <c r="AH408" s="61">
        <f t="shared" si="399"/>
        <v>-171.28744042189095</v>
      </c>
      <c r="AI408" s="50" t="str">
        <f t="shared" si="379"/>
        <v>107.538871525172</v>
      </c>
      <c r="AJ408" s="50" t="str">
        <f t="shared" si="380"/>
        <v>1+371.887723297949i</v>
      </c>
      <c r="AK408" s="50">
        <f t="shared" si="400"/>
        <v>371.88906778733343</v>
      </c>
      <c r="AL408" s="50">
        <f t="shared" si="401"/>
        <v>1.5681073496462794</v>
      </c>
      <c r="AM408" s="50" t="str">
        <f t="shared" si="381"/>
        <v>1+0.449182034414776i</v>
      </c>
      <c r="AN408" s="50">
        <f t="shared" si="402"/>
        <v>1.0962501995625802</v>
      </c>
      <c r="AO408" s="50">
        <f t="shared" si="403"/>
        <v>0.42217349709811391</v>
      </c>
      <c r="AP408" s="50" t="str">
        <f t="shared" si="382"/>
        <v>1-1.29147620401125i</v>
      </c>
      <c r="AQ408" s="50">
        <f t="shared" si="404"/>
        <v>1.6333740494838613</v>
      </c>
      <c r="AR408" s="50">
        <f t="shared" si="405"/>
        <v>-0.91191890706994361</v>
      </c>
      <c r="AS408" s="59" t="str">
        <f t="shared" si="406"/>
        <v>-0.242336025053492-0.457571860418859i</v>
      </c>
      <c r="AT408" s="50">
        <f t="shared" si="407"/>
        <v>-5.7170520038699424</v>
      </c>
      <c r="AU408" s="61">
        <f t="shared" si="408"/>
        <v>-117.90627798546721</v>
      </c>
      <c r="AV408" s="32" t="str">
        <f t="shared" si="383"/>
        <v>-0.0000333333333333333</v>
      </c>
      <c r="AW408" s="32" t="str">
        <f t="shared" si="384"/>
        <v>0.023956375168788i</v>
      </c>
      <c r="AX408" s="32">
        <f t="shared" si="409"/>
        <v>2.3956375168787999E-2</v>
      </c>
      <c r="AY408" s="32">
        <f t="shared" si="410"/>
        <v>1.5707963267948966</v>
      </c>
      <c r="AZ408" s="32" t="str">
        <f t="shared" si="385"/>
        <v>1+9.77386834143263i</v>
      </c>
      <c r="BA408" s="32">
        <f t="shared" si="411"/>
        <v>9.8248919767933849</v>
      </c>
      <c r="BB408" s="32">
        <f t="shared" si="412"/>
        <v>1.4688374750080455</v>
      </c>
      <c r="BC408" s="32" t="str">
        <f t="shared" si="386"/>
        <v>1+469.145680388767i</v>
      </c>
      <c r="BD408" s="32">
        <f t="shared" si="413"/>
        <v>469.14674615458983</v>
      </c>
      <c r="BE408" s="32">
        <f t="shared" si="414"/>
        <v>1.5686647959563385</v>
      </c>
      <c r="BF408" s="59" t="str">
        <f t="shared" si="415"/>
        <v>-0.00662165293299269+0.0661105820410586i</v>
      </c>
      <c r="BG408" s="50">
        <f t="shared" si="416"/>
        <v>-23.551228719484296</v>
      </c>
      <c r="BH408" s="61">
        <f t="shared" si="417"/>
        <v>95.719684170435087</v>
      </c>
      <c r="BI408" s="59" t="str">
        <f t="shared" si="418"/>
        <v>0.00436223956757493-0.0169501949886595i</v>
      </c>
      <c r="BJ408" s="64">
        <f t="shared" si="419"/>
        <v>-35.13798781164197</v>
      </c>
      <c r="BK408" s="61">
        <f t="shared" si="420"/>
        <v>-75.567756251455876</v>
      </c>
      <c r="BL408" s="59" t="str">
        <f t="shared" si="371"/>
        <v>0.031855007068966-0.0129910936142055i</v>
      </c>
      <c r="BM408" s="64">
        <f t="shared" si="421"/>
        <v>-29.268280723354245</v>
      </c>
      <c r="BN408" s="61">
        <f t="shared" si="372"/>
        <v>-22.186593815032225</v>
      </c>
      <c r="BO408" s="50">
        <f t="shared" si="422"/>
        <v>-35.13798781164197</v>
      </c>
      <c r="BP408" s="61">
        <f t="shared" si="423"/>
        <v>-75.567756251455876</v>
      </c>
    </row>
    <row r="409" spans="14:68" x14ac:dyDescent="0.25">
      <c r="N409" s="11">
        <v>91</v>
      </c>
      <c r="O409" s="51">
        <f t="shared" si="373"/>
        <v>81283.051616410012</v>
      </c>
      <c r="P409" s="49" t="str">
        <f t="shared" si="374"/>
        <v>37.1583961085025</v>
      </c>
      <c r="Q409" s="18" t="str">
        <f t="shared" si="375"/>
        <v>1+400.30463884775i</v>
      </c>
      <c r="R409" s="18">
        <f t="shared" si="387"/>
        <v>400.30588789452946</v>
      </c>
      <c r="S409" s="18">
        <f t="shared" si="388"/>
        <v>1.5682982345351553</v>
      </c>
      <c r="T409" s="18" t="str">
        <f t="shared" si="376"/>
        <v>1+0.459644828075053i</v>
      </c>
      <c r="U409" s="18">
        <f t="shared" si="389"/>
        <v>1.1005786514266689</v>
      </c>
      <c r="V409" s="18">
        <f t="shared" si="390"/>
        <v>0.43084555830326093</v>
      </c>
      <c r="W409" s="32" t="str">
        <f t="shared" si="377"/>
        <v>1-4.02322223647867i</v>
      </c>
      <c r="X409" s="18">
        <f t="shared" si="391"/>
        <v>4.1456383301123161</v>
      </c>
      <c r="Y409" s="18">
        <f t="shared" si="392"/>
        <v>-1.3271762533285951</v>
      </c>
      <c r="Z409" s="32" t="str">
        <f t="shared" si="378"/>
        <v>0.834826637998101+0.968658915461869i</v>
      </c>
      <c r="AA409" s="18">
        <f t="shared" si="393"/>
        <v>1.2787633127420321</v>
      </c>
      <c r="AB409" s="18">
        <f t="shared" si="394"/>
        <v>0.85946996553605148</v>
      </c>
      <c r="AC409" s="32" t="str">
        <f>IMDIV(IMSUM(COMPLEX(0,2*PI()*O409*Constants!$B$61*Constants!$B$62),COMPLEX(1,0)),IMSUM(COMPLEX(0,2*PI()*O409*Constants!$B$61*Constants!$B$62),COMPLEX(2,0)))</f>
        <v>0.755300829303646+0.24994379609963i</v>
      </c>
      <c r="AD409" s="18">
        <f t="shared" si="395"/>
        <v>0.79558233009253587</v>
      </c>
      <c r="AE409" s="18">
        <f t="shared" si="396"/>
        <v>0.31957656132605072</v>
      </c>
      <c r="AF409" s="66" t="str">
        <f t="shared" si="397"/>
        <v>-0.261023601059497-0.0360043579813571i</v>
      </c>
      <c r="AG409" s="64">
        <f t="shared" si="398"/>
        <v>-11.584551234825408</v>
      </c>
      <c r="AH409" s="61">
        <f t="shared" si="399"/>
        <v>-172.14644917784565</v>
      </c>
      <c r="AI409" s="50" t="str">
        <f t="shared" si="379"/>
        <v>107.538871525172</v>
      </c>
      <c r="AJ409" s="50" t="str">
        <f t="shared" si="380"/>
        <v>1+380.550101166035i</v>
      </c>
      <c r="AK409" s="50">
        <f t="shared" si="400"/>
        <v>380.55141505121156</v>
      </c>
      <c r="AL409" s="50">
        <f t="shared" si="401"/>
        <v>1.5681685579539166</v>
      </c>
      <c r="AM409" s="50" t="str">
        <f t="shared" si="381"/>
        <v>1+0.459644828075053i</v>
      </c>
      <c r="AN409" s="50">
        <f t="shared" si="402"/>
        <v>1.1005786514266689</v>
      </c>
      <c r="AO409" s="50">
        <f t="shared" si="403"/>
        <v>0.43084555830326093</v>
      </c>
      <c r="AP409" s="50" t="str">
        <f t="shared" si="382"/>
        <v>1-1.32155854926206i</v>
      </c>
      <c r="AQ409" s="50">
        <f t="shared" si="404"/>
        <v>1.6572618981704854</v>
      </c>
      <c r="AR409" s="50">
        <f t="shared" si="405"/>
        <v>-0.92303222743323676</v>
      </c>
      <c r="AS409" s="59" t="str">
        <f t="shared" si="406"/>
        <v>-0.242371100275031-0.454882199126397i</v>
      </c>
      <c r="AT409" s="50">
        <f t="shared" si="407"/>
        <v>-5.7567127273400249</v>
      </c>
      <c r="AU409" s="61">
        <f t="shared" si="408"/>
        <v>-118.04965880962547</v>
      </c>
      <c r="AV409" s="32" t="str">
        <f t="shared" si="383"/>
        <v>-0.0000333333333333333</v>
      </c>
      <c r="AW409" s="32" t="str">
        <f t="shared" si="384"/>
        <v>0.0245143908306695i</v>
      </c>
      <c r="AX409" s="32">
        <f t="shared" si="409"/>
        <v>2.4514390830669499E-2</v>
      </c>
      <c r="AY409" s="32">
        <f t="shared" si="410"/>
        <v>1.5707963267948966</v>
      </c>
      <c r="AZ409" s="32" t="str">
        <f t="shared" si="385"/>
        <v>1+10.0015309812627i</v>
      </c>
      <c r="BA409" s="32">
        <f t="shared" si="411"/>
        <v>10.051399005569206</v>
      </c>
      <c r="BB409" s="32">
        <f t="shared" si="412"/>
        <v>1.471142830236686</v>
      </c>
      <c r="BC409" s="32" t="str">
        <f t="shared" si="386"/>
        <v>1+480.073487100611i</v>
      </c>
      <c r="BD409" s="32">
        <f t="shared" si="413"/>
        <v>480.07452860669514</v>
      </c>
      <c r="BE409" s="32">
        <f t="shared" si="414"/>
        <v>1.5687133153798591</v>
      </c>
      <c r="BF409" s="59" t="str">
        <f t="shared" si="415"/>
        <v>-0.00632657929133473+0.0646352243169103i</v>
      </c>
      <c r="BG409" s="50">
        <f t="shared" si="416"/>
        <v>-23.749204192337778</v>
      </c>
      <c r="BH409" s="61">
        <f t="shared" si="417"/>
        <v>95.590377003747719</v>
      </c>
      <c r="BI409" s="59" t="str">
        <f t="shared" si="418"/>
        <v>0.00397853626352399-0.0166435345808856i</v>
      </c>
      <c r="BJ409" s="64">
        <f t="shared" si="419"/>
        <v>-35.333755427163204</v>
      </c>
      <c r="BK409" s="61">
        <f t="shared" si="420"/>
        <v>-76.556072174097906</v>
      </c>
      <c r="BL409" s="59" t="str">
        <f t="shared" si="371"/>
        <v>0.0309347929621222-0.0127878621332231i</v>
      </c>
      <c r="BM409" s="64">
        <f t="shared" si="421"/>
        <v>-29.505916919677794</v>
      </c>
      <c r="BN409" s="61">
        <f t="shared" si="372"/>
        <v>-22.459281805877691</v>
      </c>
      <c r="BO409" s="50">
        <f t="shared" si="422"/>
        <v>-35.333755427163204</v>
      </c>
      <c r="BP409" s="61">
        <f t="shared" si="423"/>
        <v>-76.556072174097906</v>
      </c>
    </row>
    <row r="410" spans="14:68" x14ac:dyDescent="0.25">
      <c r="N410" s="11">
        <v>92</v>
      </c>
      <c r="O410" s="51">
        <f t="shared" si="373"/>
        <v>83176.377110267174</v>
      </c>
      <c r="P410" s="49" t="str">
        <f t="shared" si="374"/>
        <v>37.1583961085025</v>
      </c>
      <c r="Q410" s="18" t="str">
        <f t="shared" si="375"/>
        <v>1+409.62893171038i</v>
      </c>
      <c r="R410" s="18">
        <f t="shared" si="387"/>
        <v>409.63015232546928</v>
      </c>
      <c r="S410" s="18">
        <f t="shared" si="388"/>
        <v>1.5683550978287422</v>
      </c>
      <c r="T410" s="18" t="str">
        <f t="shared" si="376"/>
        <v>1+0.470351331507294i</v>
      </c>
      <c r="U410" s="18">
        <f t="shared" si="389"/>
        <v>1.1050929259798401</v>
      </c>
      <c r="V410" s="18">
        <f t="shared" si="390"/>
        <v>0.43964861272214034</v>
      </c>
      <c r="W410" s="32" t="str">
        <f t="shared" si="377"/>
        <v>1-4.11693512097673i</v>
      </c>
      <c r="X410" s="18">
        <f t="shared" si="391"/>
        <v>4.2366442841394747</v>
      </c>
      <c r="Y410" s="18">
        <f t="shared" si="392"/>
        <v>-1.3325119109488106</v>
      </c>
      <c r="Z410" s="32" t="str">
        <f t="shared" si="378"/>
        <v>0.827042257270266+0.991221880102406i</v>
      </c>
      <c r="AA410" s="18">
        <f t="shared" si="393"/>
        <v>1.2909375317591651</v>
      </c>
      <c r="AB410" s="18">
        <f t="shared" si="394"/>
        <v>0.87544866637707874</v>
      </c>
      <c r="AC410" s="32" t="str">
        <f>IMDIV(IMSUM(COMPLEX(0,2*PI()*O410*Constants!$B$61*Constants!$B$62),COMPLEX(1,0)),IMSUM(COMPLEX(0,2*PI()*O410*Constants!$B$61*Constants!$B$62),COMPLEX(2,0)))</f>
        <v>0.761050880556087+0.249755636650977i</v>
      </c>
      <c r="AD410" s="18">
        <f t="shared" si="395"/>
        <v>0.80098459462971583</v>
      </c>
      <c r="AE410" s="18">
        <f t="shared" si="396"/>
        <v>0.31709824002491177</v>
      </c>
      <c r="AF410" s="66" t="str">
        <f t="shared" si="397"/>
        <v>-0.261555249678594-0.0320753304681375i</v>
      </c>
      <c r="AG410" s="64">
        <f t="shared" si="398"/>
        <v>-11.583904413164658</v>
      </c>
      <c r="AH410" s="61">
        <f t="shared" si="399"/>
        <v>-173.00854947324225</v>
      </c>
      <c r="AI410" s="50" t="str">
        <f t="shared" si="379"/>
        <v>107.538871525172</v>
      </c>
      <c r="AJ410" s="50" t="str">
        <f t="shared" si="380"/>
        <v>1+389.414251734935i</v>
      </c>
      <c r="AK410" s="50">
        <f t="shared" si="400"/>
        <v>389.41553571253337</v>
      </c>
      <c r="AL410" s="50">
        <f t="shared" si="401"/>
        <v>1.5682283730093971</v>
      </c>
      <c r="AM410" s="50" t="str">
        <f t="shared" si="381"/>
        <v>1+0.470351331507294i</v>
      </c>
      <c r="AN410" s="50">
        <f t="shared" si="402"/>
        <v>1.1050929259798401</v>
      </c>
      <c r="AO410" s="50">
        <f t="shared" si="403"/>
        <v>0.43964861272214034</v>
      </c>
      <c r="AP410" s="50" t="str">
        <f t="shared" si="382"/>
        <v>1-1.35234160234858i</v>
      </c>
      <c r="AQ410" s="50">
        <f t="shared" si="404"/>
        <v>1.6819119505618374</v>
      </c>
      <c r="AR410" s="50">
        <f t="shared" si="405"/>
        <v>-0.9340762203065277</v>
      </c>
      <c r="AS410" s="59" t="str">
        <f t="shared" si="406"/>
        <v>-0.242404596872863-0.452433714098199i</v>
      </c>
      <c r="AT410" s="50">
        <f t="shared" si="407"/>
        <v>-5.7929148717007406</v>
      </c>
      <c r="AU410" s="61">
        <f t="shared" si="408"/>
        <v>-118.18148227544212</v>
      </c>
      <c r="AV410" s="32" t="str">
        <f t="shared" si="383"/>
        <v>-0.0000333333333333333</v>
      </c>
      <c r="AW410" s="32" t="str">
        <f t="shared" si="384"/>
        <v>0.0250854043470556i</v>
      </c>
      <c r="AX410" s="32">
        <f t="shared" si="409"/>
        <v>2.5085404347055602E-2</v>
      </c>
      <c r="AY410" s="32">
        <f t="shared" si="410"/>
        <v>1.5707963267948966</v>
      </c>
      <c r="AZ410" s="32" t="str">
        <f t="shared" si="385"/>
        <v>1+10.234496565205i</v>
      </c>
      <c r="BA410" s="32">
        <f t="shared" si="411"/>
        <v>10.283234896820794</v>
      </c>
      <c r="BB410" s="32">
        <f t="shared" si="412"/>
        <v>1.4733967365776335</v>
      </c>
      <c r="BC410" s="32" t="str">
        <f t="shared" si="386"/>
        <v>1+491.255835129841i</v>
      </c>
      <c r="BD410" s="32">
        <f t="shared" si="413"/>
        <v>491.25685292840194</v>
      </c>
      <c r="BE410" s="32">
        <f t="shared" si="414"/>
        <v>1.5687607303759397</v>
      </c>
      <c r="BF410" s="59" t="str">
        <f t="shared" si="415"/>
        <v>-0.00604452905240379+0.0631915057672816i</v>
      </c>
      <c r="BG410" s="50">
        <f t="shared" si="416"/>
        <v>-23.947269901746353</v>
      </c>
      <c r="BH410" s="61">
        <f t="shared" si="417"/>
        <v>95.463954362154695</v>
      </c>
      <c r="BI410" s="59" t="str">
        <f t="shared" si="418"/>
        <v>0.00360786673575576-0.0163341898016475i</v>
      </c>
      <c r="BJ410" s="64">
        <f t="shared" si="419"/>
        <v>-35.531174314911027</v>
      </c>
      <c r="BK410" s="61">
        <f t="shared" si="420"/>
        <v>-77.544595111087531</v>
      </c>
      <c r="BL410" s="59" t="str">
        <f t="shared" si="371"/>
        <v>0.0300551892819832-0.0125831627521536i</v>
      </c>
      <c r="BM410" s="64">
        <f t="shared" si="421"/>
        <v>-29.740184773447091</v>
      </c>
      <c r="BN410" s="61">
        <f t="shared" si="372"/>
        <v>-22.717527913287476</v>
      </c>
      <c r="BO410" s="50">
        <f t="shared" si="422"/>
        <v>-35.531174314911027</v>
      </c>
      <c r="BP410" s="61">
        <f t="shared" si="423"/>
        <v>-77.544595111087531</v>
      </c>
    </row>
    <row r="411" spans="14:68" x14ac:dyDescent="0.25">
      <c r="N411" s="11">
        <v>93</v>
      </c>
      <c r="O411" s="51">
        <f t="shared" si="373"/>
        <v>85113.803820237721</v>
      </c>
      <c r="P411" s="49" t="str">
        <f t="shared" si="374"/>
        <v>37.1583961085025</v>
      </c>
      <c r="Q411" s="18" t="str">
        <f t="shared" si="375"/>
        <v>1+419.170415254684i</v>
      </c>
      <c r="R411" s="18">
        <f t="shared" si="387"/>
        <v>419.1716080852616</v>
      </c>
      <c r="S411" s="18">
        <f t="shared" si="388"/>
        <v>1.5684106667709965</v>
      </c>
      <c r="T411" s="18" t="str">
        <f t="shared" si="376"/>
        <v>1+0.481307221441335i</v>
      </c>
      <c r="U411" s="18">
        <f t="shared" si="389"/>
        <v>1.109800270954904</v>
      </c>
      <c r="V411" s="18">
        <f t="shared" si="390"/>
        <v>0.44858186937625111</v>
      </c>
      <c r="W411" s="32" t="str">
        <f t="shared" si="377"/>
        <v>1-4.21283085897i</v>
      </c>
      <c r="X411" s="18">
        <f t="shared" si="391"/>
        <v>4.3298895882331587</v>
      </c>
      <c r="Y411" s="18">
        <f t="shared" si="392"/>
        <v>-1.3377395122855069</v>
      </c>
      <c r="Z411" s="32" t="str">
        <f t="shared" si="378"/>
        <v>0.818891009981253+1.01431040370415i</v>
      </c>
      <c r="AA411" s="18">
        <f t="shared" si="393"/>
        <v>1.3036134708151004</v>
      </c>
      <c r="AB411" s="18">
        <f t="shared" si="394"/>
        <v>0.89159717549865636</v>
      </c>
      <c r="AC411" s="32" t="str">
        <f>IMDIV(IMSUM(COMPLEX(0,2*PI()*O411*Constants!$B$61*Constants!$B$62),COMPLEX(1,0)),IMSUM(COMPLEX(0,2*PI()*O411*Constants!$B$61*Constants!$B$62),COMPLEX(2,0)))</f>
        <v>0.766789240697079+0.249435605711806i</v>
      </c>
      <c r="AD411" s="18">
        <f t="shared" si="395"/>
        <v>0.8063397925475454</v>
      </c>
      <c r="AE411" s="18">
        <f t="shared" si="396"/>
        <v>0.31450211304794773</v>
      </c>
      <c r="AF411" s="66" t="str">
        <f t="shared" si="397"/>
        <v>-0.26198017224867-0.0281206091677761i</v>
      </c>
      <c r="AG411" s="64">
        <f t="shared" si="398"/>
        <v>-11.584879943697075</v>
      </c>
      <c r="AH411" s="61">
        <f t="shared" si="399"/>
        <v>-173.87340346604245</v>
      </c>
      <c r="AI411" s="50" t="str">
        <f t="shared" si="379"/>
        <v>107.538871525172</v>
      </c>
      <c r="AJ411" s="50" t="str">
        <f t="shared" si="380"/>
        <v>1+398.484874894613i</v>
      </c>
      <c r="AK411" s="50">
        <f t="shared" si="400"/>
        <v>398.48612964540604</v>
      </c>
      <c r="AL411" s="50">
        <f t="shared" si="401"/>
        <v>1.5682868265257424</v>
      </c>
      <c r="AM411" s="50" t="str">
        <f t="shared" si="381"/>
        <v>1+0.481307221441335i</v>
      </c>
      <c r="AN411" s="50">
        <f t="shared" si="402"/>
        <v>1.109800270954904</v>
      </c>
      <c r="AO411" s="50">
        <f t="shared" si="403"/>
        <v>0.44858186937625111</v>
      </c>
      <c r="AP411" s="50" t="str">
        <f t="shared" si="382"/>
        <v>1-1.38384168485303i</v>
      </c>
      <c r="AQ411" s="50">
        <f t="shared" si="404"/>
        <v>1.7073423232430198</v>
      </c>
      <c r="AR411" s="50">
        <f t="shared" si="405"/>
        <v>-0.94504596547651543</v>
      </c>
      <c r="AS411" s="59" t="str">
        <f t="shared" si="406"/>
        <v>-0.242436585894887-0.450225107668992i</v>
      </c>
      <c r="AT411" s="50">
        <f t="shared" si="407"/>
        <v>-5.8256460344768861</v>
      </c>
      <c r="AU411" s="61">
        <f t="shared" si="408"/>
        <v>-118.30151361221293</v>
      </c>
      <c r="AV411" s="32" t="str">
        <f t="shared" si="383"/>
        <v>-0.0000333333333333333</v>
      </c>
      <c r="AW411" s="32" t="str">
        <f t="shared" si="384"/>
        <v>0.0256697184768712i</v>
      </c>
      <c r="AX411" s="32">
        <f t="shared" si="409"/>
        <v>2.56697184768712E-2</v>
      </c>
      <c r="AY411" s="32">
        <f t="shared" si="410"/>
        <v>1.5707963267948966</v>
      </c>
      <c r="AZ411" s="32" t="str">
        <f t="shared" si="385"/>
        <v>1+10.4728886146957i</v>
      </c>
      <c r="BA411" s="32">
        <f t="shared" si="411"/>
        <v>10.520522607542974</v>
      </c>
      <c r="BB411" s="32">
        <f t="shared" si="412"/>
        <v>1.4756002974311224</v>
      </c>
      <c r="BC411" s="32" t="str">
        <f t="shared" si="386"/>
        <v>1+502.698653505395i</v>
      </c>
      <c r="BD411" s="32">
        <f t="shared" si="413"/>
        <v>502.69964813607851</v>
      </c>
      <c r="BE411" s="32">
        <f t="shared" si="414"/>
        <v>1.5688070660837852</v>
      </c>
      <c r="BF411" s="59" t="str">
        <f t="shared" si="415"/>
        <v>-0.00577493837456986+0.0617788332528739i</v>
      </c>
      <c r="BG411" s="50">
        <f t="shared" si="416"/>
        <v>-24.1454218633002</v>
      </c>
      <c r="BH411" s="61">
        <f t="shared" si="417"/>
        <v>95.34035446584987</v>
      </c>
      <c r="BI411" s="59" t="str">
        <f t="shared" si="418"/>
        <v>0.00325017777484054-0.0160224345919105i</v>
      </c>
      <c r="BJ411" s="64">
        <f t="shared" si="419"/>
        <v>-35.730301806997275</v>
      </c>
      <c r="BK411" s="61">
        <f t="shared" si="420"/>
        <v>-78.533049000192605</v>
      </c>
      <c r="BL411" s="59" t="str">
        <f t="shared" si="371"/>
        <v>0.0292144381962239-0.0123774271629238i</v>
      </c>
      <c r="BM411" s="64">
        <f t="shared" si="421"/>
        <v>-29.971067897777086</v>
      </c>
      <c r="BN411" s="61">
        <f t="shared" si="372"/>
        <v>-22.961159146363183</v>
      </c>
      <c r="BO411" s="50">
        <f t="shared" si="422"/>
        <v>-35.730301806997275</v>
      </c>
      <c r="BP411" s="61">
        <f t="shared" si="423"/>
        <v>-78.533049000192605</v>
      </c>
    </row>
    <row r="412" spans="14:68" x14ac:dyDescent="0.25">
      <c r="N412" s="11">
        <v>94</v>
      </c>
      <c r="O412" s="51">
        <f t="shared" si="373"/>
        <v>87096.358995608127</v>
      </c>
      <c r="P412" s="49" t="str">
        <f t="shared" si="374"/>
        <v>37.1583961085025</v>
      </c>
      <c r="Q412" s="18" t="str">
        <f t="shared" si="375"/>
        <v>1+428.934148501532i</v>
      </c>
      <c r="R412" s="18">
        <f t="shared" si="387"/>
        <v>428.9353141800454</v>
      </c>
      <c r="S412" s="18">
        <f t="shared" si="388"/>
        <v>1.5684649708239333</v>
      </c>
      <c r="T412" s="18" t="str">
        <f t="shared" si="376"/>
        <v>1+0.49251830683504i</v>
      </c>
      <c r="U412" s="18">
        <f t="shared" si="389"/>
        <v>1.1147081602678142</v>
      </c>
      <c r="V412" s="18">
        <f t="shared" si="390"/>
        <v>0.45764436058600494</v>
      </c>
      <c r="W412" s="32" t="str">
        <f t="shared" si="377"/>
        <v>1-4.31096029564812i</v>
      </c>
      <c r="X412" s="18">
        <f t="shared" si="391"/>
        <v>4.4254241232512985</v>
      </c>
      <c r="Y412" s="18">
        <f t="shared" si="392"/>
        <v>-1.3428606857104026</v>
      </c>
      <c r="Z412" s="32" t="str">
        <f t="shared" si="378"/>
        <v>0.810355606242704+1.03793672810792i</v>
      </c>
      <c r="AA412" s="18">
        <f t="shared" si="393"/>
        <v>1.3168101078456051</v>
      </c>
      <c r="AB412" s="18">
        <f t="shared" si="394"/>
        <v>0.90791197798809042</v>
      </c>
      <c r="AC412" s="32" t="str">
        <f>IMDIV(IMSUM(COMPLEX(0,2*PI()*O412*Constants!$B$61*Constants!$B$62),COMPLEX(1,0)),IMSUM(COMPLEX(0,2*PI()*O412*Constants!$B$61*Constants!$B$62),COMPLEX(2,0)))</f>
        <v>0.772509884381806+0.2489845479244i</v>
      </c>
      <c r="AD412" s="18">
        <f t="shared" si="395"/>
        <v>0.8116432877642179</v>
      </c>
      <c r="AE412" s="18">
        <f t="shared" si="396"/>
        <v>0.31179331512344288</v>
      </c>
      <c r="AF412" s="66" t="str">
        <f t="shared" si="397"/>
        <v>-0.262295627062036-0.0241446740863734i</v>
      </c>
      <c r="AG412" s="64">
        <f t="shared" si="398"/>
        <v>-11.587534278510125</v>
      </c>
      <c r="AH412" s="61">
        <f t="shared" si="399"/>
        <v>-174.74066599915588</v>
      </c>
      <c r="AI412" s="50" t="str">
        <f t="shared" si="379"/>
        <v>107.538871525172</v>
      </c>
      <c r="AJ412" s="50" t="str">
        <f t="shared" si="380"/>
        <v>1+407.766780009531i</v>
      </c>
      <c r="AK412" s="50">
        <f t="shared" si="400"/>
        <v>407.76800619879583</v>
      </c>
      <c r="AL412" s="50">
        <f t="shared" si="401"/>
        <v>1.5683439494941815</v>
      </c>
      <c r="AM412" s="50" t="str">
        <f t="shared" si="381"/>
        <v>1+0.49251830683504i</v>
      </c>
      <c r="AN412" s="50">
        <f t="shared" si="402"/>
        <v>1.1147081602678142</v>
      </c>
      <c r="AO412" s="50">
        <f t="shared" si="403"/>
        <v>0.45764436058600494</v>
      </c>
      <c r="AP412" s="50" t="str">
        <f t="shared" si="382"/>
        <v>1-1.4160754985361i</v>
      </c>
      <c r="AQ412" s="50">
        <f t="shared" si="404"/>
        <v>1.7335714053808871</v>
      </c>
      <c r="AR412" s="50">
        <f t="shared" si="405"/>
        <v>-0.95593671915437251</v>
      </c>
      <c r="AS412" s="59" t="str">
        <f t="shared" si="406"/>
        <v>-0.24246713519148-0.448255209323347i</v>
      </c>
      <c r="AT412" s="50">
        <f t="shared" si="407"/>
        <v>-5.8548951520370496</v>
      </c>
      <c r="AU412" s="61">
        <f t="shared" si="408"/>
        <v>-118.40953824048222</v>
      </c>
      <c r="AV412" s="32" t="str">
        <f t="shared" si="383"/>
        <v>-0.0000333333333333333</v>
      </c>
      <c r="AW412" s="32" t="str">
        <f t="shared" si="384"/>
        <v>0.0262676430312021i</v>
      </c>
      <c r="AX412" s="32">
        <f t="shared" si="409"/>
        <v>2.62676430312021E-2</v>
      </c>
      <c r="AY412" s="32">
        <f t="shared" si="410"/>
        <v>1.5707963267948966</v>
      </c>
      <c r="AZ412" s="32" t="str">
        <f t="shared" si="385"/>
        <v>1+10.716833528355i</v>
      </c>
      <c r="BA412" s="32">
        <f t="shared" si="411"/>
        <v>10.763387983087567</v>
      </c>
      <c r="BB412" s="32">
        <f t="shared" si="412"/>
        <v>1.4777545955088904</v>
      </c>
      <c r="BC412" s="32" t="str">
        <f t="shared" si="386"/>
        <v>1+514.408009361043i</v>
      </c>
      <c r="BD412" s="32">
        <f t="shared" si="413"/>
        <v>514.40898135121131</v>
      </c>
      <c r="BE412" s="32">
        <f t="shared" si="414"/>
        <v>1.568852347070405</v>
      </c>
      <c r="BF412" s="59" t="str">
        <f t="shared" si="415"/>
        <v>-0.00551726687041229+0.0603966189448423i</v>
      </c>
      <c r="BG412" s="50">
        <f t="shared" si="416"/>
        <v>-24.343656265242476</v>
      </c>
      <c r="BH412" s="61">
        <f t="shared" si="417"/>
        <v>95.219516687606088</v>
      </c>
      <c r="BI412" s="59" t="str">
        <f t="shared" si="418"/>
        <v>0.00290541165378549-0.0157085564281306i</v>
      </c>
      <c r="BJ412" s="64">
        <f t="shared" si="419"/>
        <v>-35.931190543752606</v>
      </c>
      <c r="BK412" s="61">
        <f t="shared" si="420"/>
        <v>-79.521149311549806</v>
      </c>
      <c r="BL412" s="59" t="str">
        <f t="shared" si="371"/>
        <v>0.0284108549596984-0.012171051554918i</v>
      </c>
      <c r="BM412" s="64">
        <f t="shared" si="421"/>
        <v>-30.198551417279532</v>
      </c>
      <c r="BN412" s="61">
        <f t="shared" si="372"/>
        <v>-23.19002155287626</v>
      </c>
      <c r="BO412" s="50">
        <f t="shared" si="422"/>
        <v>-35.931190543752606</v>
      </c>
      <c r="BP412" s="61">
        <f t="shared" si="423"/>
        <v>-79.521149311549806</v>
      </c>
    </row>
    <row r="413" spans="14:68" x14ac:dyDescent="0.25">
      <c r="N413" s="11">
        <v>95</v>
      </c>
      <c r="O413" s="51">
        <f t="shared" si="373"/>
        <v>89125.093813374609</v>
      </c>
      <c r="P413" s="49" t="str">
        <f t="shared" si="374"/>
        <v>37.1583961085025</v>
      </c>
      <c r="Q413" s="18" t="str">
        <f t="shared" si="375"/>
        <v>1+438.92530831153i</v>
      </c>
      <c r="R413" s="18">
        <f t="shared" si="387"/>
        <v>438.92644745603064</v>
      </c>
      <c r="S413" s="18">
        <f t="shared" si="388"/>
        <v>1.5685180387789983</v>
      </c>
      <c r="T413" s="18" t="str">
        <f t="shared" si="376"/>
        <v>1+0.503990531954279i</v>
      </c>
      <c r="U413" s="18">
        <f t="shared" si="389"/>
        <v>1.1198242970660877</v>
      </c>
      <c r="V413" s="18">
        <f t="shared" si="390"/>
        <v>0.46683493610129012</v>
      </c>
      <c r="W413" s="32" t="str">
        <f t="shared" si="377"/>
        <v>1-4.41137546053729i</v>
      </c>
      <c r="X413" s="18">
        <f t="shared" si="391"/>
        <v>4.5232989569373574</v>
      </c>
      <c r="Y413" s="18">
        <f t="shared" si="392"/>
        <v>-1.3478770715809043</v>
      </c>
      <c r="Z413" s="32" t="str">
        <f t="shared" si="378"/>
        <v>0.80141794131893+1.06211338030364i</v>
      </c>
      <c r="AA413" s="18">
        <f t="shared" si="393"/>
        <v>1.3305470864602638</v>
      </c>
      <c r="AB413" s="18">
        <f t="shared" si="394"/>
        <v>0.92438939801719999</v>
      </c>
      <c r="AC413" s="32" t="str">
        <f>IMDIV(IMSUM(COMPLEX(0,2*PI()*O413*Constants!$B$61*Constants!$B$62),COMPLEX(1,0)),IMSUM(COMPLEX(0,2*PI()*O413*Constants!$B$61*Constants!$B$62),COMPLEX(2,0)))</f>
        <v>0.778206860816968+0.248403649334812i</v>
      </c>
      <c r="AD413" s="18">
        <f t="shared" si="395"/>
        <v>0.8168906237835345</v>
      </c>
      <c r="AE413" s="18">
        <f t="shared" si="396"/>
        <v>0.30897710928552469</v>
      </c>
      <c r="AF413" s="66" t="str">
        <f t="shared" si="397"/>
        <v>-0.262499213244866-0.0201521907041767i</v>
      </c>
      <c r="AG413" s="64">
        <f t="shared" si="398"/>
        <v>-11.591918968138721</v>
      </c>
      <c r="AH413" s="61">
        <f t="shared" si="399"/>
        <v>-175.60998645316036</v>
      </c>
      <c r="AI413" s="50" t="str">
        <f t="shared" si="379"/>
        <v>107.538871525172</v>
      </c>
      <c r="AJ413" s="50" t="str">
        <f t="shared" si="380"/>
        <v>1+417.264888468641i</v>
      </c>
      <c r="AK413" s="50">
        <f t="shared" si="400"/>
        <v>417.26608674651175</v>
      </c>
      <c r="AL413" s="50">
        <f t="shared" si="401"/>
        <v>1.5683997722005767</v>
      </c>
      <c r="AM413" s="50" t="str">
        <f t="shared" si="381"/>
        <v>1+0.503990531954279i</v>
      </c>
      <c r="AN413" s="50">
        <f t="shared" si="402"/>
        <v>1.1198242970660877</v>
      </c>
      <c r="AO413" s="50">
        <f t="shared" si="403"/>
        <v>0.46683493610129012</v>
      </c>
      <c r="AP413" s="50" t="str">
        <f t="shared" si="382"/>
        <v>1-1.44906013419247i</v>
      </c>
      <c r="AQ413" s="50">
        <f t="shared" si="404"/>
        <v>1.7606178666893901</v>
      </c>
      <c r="AR413" s="50">
        <f t="shared" si="405"/>
        <v>-0.96674392206595106</v>
      </c>
      <c r="AS413" s="59" t="str">
        <f t="shared" si="406"/>
        <v>-0.242496309559401-0.446522975077513i</v>
      </c>
      <c r="AT413" s="50">
        <f t="shared" si="407"/>
        <v>-5.88065246180168</v>
      </c>
      <c r="AU413" s="61">
        <f t="shared" si="408"/>
        <v>-118.50536257281257</v>
      </c>
      <c r="AV413" s="32" t="str">
        <f t="shared" si="383"/>
        <v>-0.0000333333333333333</v>
      </c>
      <c r="AW413" s="32" t="str">
        <f t="shared" si="384"/>
        <v>0.0268794950375615i</v>
      </c>
      <c r="AX413" s="32">
        <f t="shared" si="409"/>
        <v>2.6879495037561499E-2</v>
      </c>
      <c r="AY413" s="32">
        <f t="shared" si="410"/>
        <v>1.5707963267948966</v>
      </c>
      <c r="AZ413" s="32" t="str">
        <f t="shared" si="385"/>
        <v>1+10.9664606490051i</v>
      </c>
      <c r="BA413" s="32">
        <f t="shared" si="411"/>
        <v>11.011959824035744</v>
      </c>
      <c r="BB413" s="32">
        <f t="shared" si="412"/>
        <v>1.4798606930194176</v>
      </c>
      <c r="BC413" s="32" t="str">
        <f t="shared" si="386"/>
        <v>1+526.390111152247i</v>
      </c>
      <c r="BD413" s="32">
        <f t="shared" si="413"/>
        <v>526.39106101725827</v>
      </c>
      <c r="BE413" s="32">
        <f t="shared" si="414"/>
        <v>1.5688965973436346</v>
      </c>
      <c r="BF413" s="59" t="str">
        <f t="shared" si="415"/>
        <v>-0.00527099671521133+0.0590442807198063i</v>
      </c>
      <c r="BG413" s="50">
        <f t="shared" si="416"/>
        <v>-24.541969461274491</v>
      </c>
      <c r="BH413" s="61">
        <f t="shared" si="417"/>
        <v>95.101381542908229</v>
      </c>
      <c r="BI413" s="59" t="str">
        <f t="shared" si="418"/>
        <v>0.00257350409581573-0.0153928551045521i</v>
      </c>
      <c r="BJ413" s="64">
        <f t="shared" si="419"/>
        <v>-36.133888429413233</v>
      </c>
      <c r="BK413" s="61">
        <f t="shared" si="420"/>
        <v>-80.508604910252117</v>
      </c>
      <c r="BL413" s="59" t="str">
        <f t="shared" si="371"/>
        <v>0.0276428251394582-0.0119643990402424i</v>
      </c>
      <c r="BM413" s="64">
        <f t="shared" si="421"/>
        <v>-30.422621923076171</v>
      </c>
      <c r="BN413" s="61">
        <f t="shared" si="372"/>
        <v>-23.403981029904426</v>
      </c>
      <c r="BO413" s="50">
        <f t="shared" si="422"/>
        <v>-36.133888429413233</v>
      </c>
      <c r="BP413" s="61">
        <f t="shared" si="423"/>
        <v>-80.508604910252117</v>
      </c>
    </row>
    <row r="414" spans="14:68" x14ac:dyDescent="0.25">
      <c r="N414" s="11">
        <v>96</v>
      </c>
      <c r="O414" s="51">
        <f t="shared" si="373"/>
        <v>91201.083935591028</v>
      </c>
      <c r="P414" s="49" t="str">
        <f t="shared" si="374"/>
        <v>37.1583961085025</v>
      </c>
      <c r="Q414" s="18" t="str">
        <f t="shared" si="375"/>
        <v>1+449.149192129858i</v>
      </c>
      <c r="R414" s="18">
        <f t="shared" si="387"/>
        <v>449.15030534432913</v>
      </c>
      <c r="S414" s="18">
        <f t="shared" si="388"/>
        <v>1.5685698987723276</v>
      </c>
      <c r="T414" s="18" t="str">
        <f t="shared" si="376"/>
        <v>1+0.515729979524663i</v>
      </c>
      <c r="U414" s="18">
        <f t="shared" si="389"/>
        <v>1.1251566165563394</v>
      </c>
      <c r="V414" s="18">
        <f t="shared" si="390"/>
        <v>0.4761522575639715</v>
      </c>
      <c r="W414" s="32" t="str">
        <f t="shared" si="377"/>
        <v>1-4.51412959508709i</v>
      </c>
      <c r="X414" s="18">
        <f t="shared" si="391"/>
        <v>4.6235663725355067</v>
      </c>
      <c r="Y414" s="18">
        <f t="shared" si="392"/>
        <v>-1.3527903193344177</v>
      </c>
      <c r="Z414" s="32" t="str">
        <f t="shared" si="378"/>
        <v>0.792059057224332+1.08685317907234i</v>
      </c>
      <c r="AA414" s="18">
        <f t="shared" si="393"/>
        <v>1.3448447430803117</v>
      </c>
      <c r="AB414" s="18">
        <f t="shared" si="394"/>
        <v>0.94102560728440954</v>
      </c>
      <c r="AC414" s="32" t="str">
        <f>IMDIV(IMSUM(COMPLEX(0,2*PI()*O414*Constants!$B$61*Constants!$B$62),COMPLEX(1,0)),IMSUM(COMPLEX(0,2*PI()*O414*Constants!$B$61*Constants!$B$62),COMPLEX(2,0)))</f>
        <v>0.783874318261821+0.247694429816855i</v>
      </c>
      <c r="AD414" s="18">
        <f t="shared" si="395"/>
        <v>0.82207753733618794</v>
      </c>
      <c r="AE414" s="18">
        <f t="shared" si="396"/>
        <v>0.30605886510225311</v>
      </c>
      <c r="AF414" s="66" t="str">
        <f t="shared" si="397"/>
        <v>-0.262588883637711-0.0161479805414903i</v>
      </c>
      <c r="AG414" s="64">
        <f t="shared" si="398"/>
        <v>-11.598080650182084</v>
      </c>
      <c r="AH414" s="61">
        <f t="shared" si="399"/>
        <v>-176.48101062910158</v>
      </c>
      <c r="AI414" s="50" t="str">
        <f t="shared" si="379"/>
        <v>107.538871525172</v>
      </c>
      <c r="AJ414" s="50" t="str">
        <f t="shared" si="380"/>
        <v>1+426.98423629477i</v>
      </c>
      <c r="AK414" s="50">
        <f t="shared" si="400"/>
        <v>426.98540729658203</v>
      </c>
      <c r="AL414" s="50">
        <f t="shared" si="401"/>
        <v>1.568454324241473</v>
      </c>
      <c r="AM414" s="50" t="str">
        <f t="shared" si="381"/>
        <v>1+0.515729979524663i</v>
      </c>
      <c r="AN414" s="50">
        <f t="shared" si="402"/>
        <v>1.1251566165563394</v>
      </c>
      <c r="AO414" s="50">
        <f t="shared" si="403"/>
        <v>0.4761522575639715</v>
      </c>
      <c r="AP414" s="50" t="str">
        <f t="shared" si="382"/>
        <v>1-1.48281308071256i</v>
      </c>
      <c r="AQ414" s="50">
        <f t="shared" si="404"/>
        <v>1.7885006660139307</v>
      </c>
      <c r="AR414" s="50">
        <f t="shared" si="405"/>
        <v>-0.97746320655750929</v>
      </c>
      <c r="AS414" s="59" t="str">
        <f t="shared" si="406"/>
        <v>-0.24252417087921-0.445027486928198i</v>
      </c>
      <c r="AT414" s="50">
        <f t="shared" si="407"/>
        <v>-5.9029094662757808</v>
      </c>
      <c r="AU414" s="61">
        <f t="shared" si="408"/>
        <v>-118.58881473910772</v>
      </c>
      <c r="AV414" s="32" t="str">
        <f t="shared" si="383"/>
        <v>-0.0000333333333333333</v>
      </c>
      <c r="AW414" s="32" t="str">
        <f t="shared" si="384"/>
        <v>0.027505598907982i</v>
      </c>
      <c r="AX414" s="32">
        <f t="shared" si="409"/>
        <v>2.7505598907982001E-2</v>
      </c>
      <c r="AY414" s="32">
        <f t="shared" si="410"/>
        <v>1.5707963267948966</v>
      </c>
      <c r="AZ414" s="32" t="str">
        <f t="shared" si="385"/>
        <v>1+11.2219023322496i</v>
      </c>
      <c r="BA414" s="32">
        <f t="shared" si="411"/>
        <v>11.2663699546282</v>
      </c>
      <c r="BB414" s="32">
        <f t="shared" si="412"/>
        <v>1.4819196318669685</v>
      </c>
      <c r="BC414" s="32" t="str">
        <f t="shared" si="386"/>
        <v>1+538.651311947982i</v>
      </c>
      <c r="BD414" s="32">
        <f t="shared" si="413"/>
        <v>538.65224019146353</v>
      </c>
      <c r="BE414" s="32">
        <f t="shared" si="414"/>
        <v>1.5689398403648607</v>
      </c>
      <c r="BF414" s="59" t="str">
        <f t="shared" si="415"/>
        <v>-0.0050356317817672+0.0577212425146959i</v>
      </c>
      <c r="BG414" s="50">
        <f t="shared" si="416"/>
        <v>-24.740357963635017</v>
      </c>
      <c r="BH414" s="61">
        <f t="shared" si="417"/>
        <v>94.985890679277688</v>
      </c>
      <c r="BI414" s="59" t="str">
        <f t="shared" si="418"/>
        <v>0.00225438242894278-0.0150756413500895i</v>
      </c>
      <c r="BJ414" s="64">
        <f t="shared" si="419"/>
        <v>-36.33843861381709</v>
      </c>
      <c r="BK414" s="61">
        <f t="shared" si="420"/>
        <v>-81.495119949823874</v>
      </c>
      <c r="BL414" s="59" t="str">
        <f t="shared" si="371"/>
        <v>0.0269088019214143-0.0117578019260588i</v>
      </c>
      <c r="BM414" s="64">
        <f t="shared" si="421"/>
        <v>-30.643267429910786</v>
      </c>
      <c r="BN414" s="61">
        <f t="shared" si="372"/>
        <v>-23.602924059830006</v>
      </c>
      <c r="BO414" s="50">
        <f t="shared" si="422"/>
        <v>-36.33843861381709</v>
      </c>
      <c r="BP414" s="61">
        <f t="shared" si="423"/>
        <v>-81.495119949823874</v>
      </c>
    </row>
    <row r="415" spans="14:68" x14ac:dyDescent="0.25">
      <c r="N415" s="11">
        <v>97</v>
      </c>
      <c r="O415" s="51">
        <f t="shared" si="373"/>
        <v>93325.430079699145</v>
      </c>
      <c r="P415" s="49" t="str">
        <f t="shared" si="374"/>
        <v>37.1583961085025</v>
      </c>
      <c r="Q415" s="18" t="str">
        <f t="shared" si="375"/>
        <v>1+459.611220795046i</v>
      </c>
      <c r="R415" s="18">
        <f t="shared" si="387"/>
        <v>459.61230866972272</v>
      </c>
      <c r="S415" s="18">
        <f t="shared" si="388"/>
        <v>1.5686205782996594</v>
      </c>
      <c r="T415" s="18" t="str">
        <f t="shared" si="376"/>
        <v>1+0.527742873956684i</v>
      </c>
      <c r="U415" s="18">
        <f t="shared" si="389"/>
        <v>1.1307132885979807</v>
      </c>
      <c r="V415" s="18">
        <f t="shared" si="390"/>
        <v>0.48559479335547046</v>
      </c>
      <c r="W415" s="32" t="str">
        <f t="shared" si="377"/>
        <v>1-4.61927718089978i</v>
      </c>
      <c r="X415" s="18">
        <f t="shared" si="391"/>
        <v>4.7262798979727618</v>
      </c>
      <c r="Y415" s="18">
        <f t="shared" si="392"/>
        <v>-1.3576020847628969</v>
      </c>
      <c r="Z415" s="32" t="str">
        <f t="shared" si="378"/>
        <v>0.782259102510979+1.11216924178279i</v>
      </c>
      <c r="AA415" s="18">
        <f t="shared" si="393"/>
        <v>1.3597241359294128</v>
      </c>
      <c r="AB415" s="18">
        <f t="shared" si="394"/>
        <v>0.95781663410503126</v>
      </c>
      <c r="AC415" s="32" t="str">
        <f>IMDIV(IMSUM(COMPLEX(0,2*PI()*O415*Constants!$B$61*Constants!$B$62),COMPLEX(1,0)),IMSUM(COMPLEX(0,2*PI()*O415*Constants!$B$61*Constants!$B$62),COMPLEX(2,0)))</f>
        <v>0.789506527653171+0.246858733434305i</v>
      </c>
      <c r="AD415" s="18">
        <f t="shared" si="395"/>
        <v>0.82719997067199935</v>
      </c>
      <c r="AE415" s="18">
        <f t="shared" si="396"/>
        <v>0.30304403708244237</v>
      </c>
      <c r="AF415" s="66" t="str">
        <f t="shared" si="397"/>
        <v>-0.262562954675323-0.0121369905986997i</v>
      </c>
      <c r="AG415" s="64">
        <f t="shared" si="398"/>
        <v>-11.606061063800762</v>
      </c>
      <c r="AH415" s="61">
        <f t="shared" si="399"/>
        <v>-177.35338264643553</v>
      </c>
      <c r="AI415" s="50" t="str">
        <f t="shared" si="379"/>
        <v>107.538871525172</v>
      </c>
      <c r="AJ415" s="50" t="str">
        <f t="shared" si="380"/>
        <v>1+436.929976814788i</v>
      </c>
      <c r="AK415" s="50">
        <f t="shared" si="400"/>
        <v>436.93112116141504</v>
      </c>
      <c r="AL415" s="50">
        <f t="shared" si="401"/>
        <v>1.5685076345397853</v>
      </c>
      <c r="AM415" s="50" t="str">
        <f t="shared" si="381"/>
        <v>1+0.527742873956684i</v>
      </c>
      <c r="AN415" s="50">
        <f t="shared" si="402"/>
        <v>1.1307132885979807</v>
      </c>
      <c r="AO415" s="50">
        <f t="shared" si="403"/>
        <v>0.48559479335547046</v>
      </c>
      <c r="AP415" s="50" t="str">
        <f t="shared" si="382"/>
        <v>1-1.5173522343554i</v>
      </c>
      <c r="AQ415" s="50">
        <f t="shared" si="404"/>
        <v>1.8172390605265245</v>
      </c>
      <c r="AR415" s="50">
        <f t="shared" si="405"/>
        <v>-0.98809040270852611</v>
      </c>
      <c r="AS415" s="59" t="str">
        <f t="shared" si="406"/>
        <v>-0.242550778246511-0.443767952367966i</v>
      </c>
      <c r="AT415" s="50">
        <f t="shared" si="407"/>
        <v>-5.9216588996149513</v>
      </c>
      <c r="AU415" s="61">
        <f t="shared" si="408"/>
        <v>-118.65974523296238</v>
      </c>
      <c r="AV415" s="32" t="str">
        <f t="shared" si="383"/>
        <v>-0.0000333333333333333</v>
      </c>
      <c r="AW415" s="32" t="str">
        <f t="shared" si="384"/>
        <v>0.0281462866110231i</v>
      </c>
      <c r="AX415" s="32">
        <f t="shared" si="409"/>
        <v>2.81462866110231E-2</v>
      </c>
      <c r="AY415" s="32">
        <f t="shared" si="410"/>
        <v>1.5707963267948966</v>
      </c>
      <c r="AZ415" s="32" t="str">
        <f t="shared" si="385"/>
        <v>1+11.4832940166501i</v>
      </c>
      <c r="BA415" s="32">
        <f t="shared" si="411"/>
        <v>11.526753292789431</v>
      </c>
      <c r="BB415" s="32">
        <f t="shared" si="412"/>
        <v>1.4839324338630304</v>
      </c>
      <c r="BC415" s="32" t="str">
        <f t="shared" si="386"/>
        <v>1+551.198112799204i</v>
      </c>
      <c r="BD415" s="32">
        <f t="shared" si="413"/>
        <v>551.19901991331949</v>
      </c>
      <c r="BE415" s="32">
        <f t="shared" si="414"/>
        <v>1.5689820990614587</v>
      </c>
      <c r="BF415" s="59" t="str">
        <f t="shared" si="415"/>
        <v>-0.00481069680149566+0.0564269346440813i</v>
      </c>
      <c r="BG415" s="50">
        <f t="shared" si="416"/>
        <v>-24.938818436446528</v>
      </c>
      <c r="BH415" s="61">
        <f t="shared" si="417"/>
        <v>94.872986864870597</v>
      </c>
      <c r="BI415" s="59" t="str">
        <f t="shared" si="418"/>
        <v>0.00194796394153648-0.0147572353015684i</v>
      </c>
      <c r="BJ415" s="64">
        <f t="shared" si="419"/>
        <v>-36.544879500247283</v>
      </c>
      <c r="BK415" s="61">
        <f t="shared" si="420"/>
        <v>-82.480395781564951</v>
      </c>
      <c r="BL415" s="59" t="str">
        <f t="shared" si="371"/>
        <v>0.0262073034985158-0.0115515638429241i</v>
      </c>
      <c r="BM415" s="64">
        <f t="shared" si="421"/>
        <v>-30.860477336061468</v>
      </c>
      <c r="BN415" s="61">
        <f t="shared" si="372"/>
        <v>-23.786758368091803</v>
      </c>
      <c r="BO415" s="50">
        <f t="shared" si="422"/>
        <v>-36.544879500247283</v>
      </c>
      <c r="BP415" s="61">
        <f t="shared" si="423"/>
        <v>-82.480395781564951</v>
      </c>
    </row>
    <row r="416" spans="14:68" x14ac:dyDescent="0.25">
      <c r="N416" s="11">
        <v>98</v>
      </c>
      <c r="O416" s="51">
        <f t="shared" si="373"/>
        <v>95499.258602143804</v>
      </c>
      <c r="P416" s="49" t="str">
        <f t="shared" si="374"/>
        <v>37.1583961085025</v>
      </c>
      <c r="Q416" s="18" t="str">
        <f t="shared" si="375"/>
        <v>1+470.316941413173i</v>
      </c>
      <c r="R416" s="18">
        <f t="shared" si="387"/>
        <v>470.31800452485555</v>
      </c>
      <c r="S416" s="18">
        <f t="shared" si="388"/>
        <v>1.5686701042309081</v>
      </c>
      <c r="T416" s="18" t="str">
        <f t="shared" si="376"/>
        <v>1+0.540035584645981i</v>
      </c>
      <c r="U416" s="18">
        <f t="shared" si="389"/>
        <v>1.1365027200512661</v>
      </c>
      <c r="V416" s="18">
        <f t="shared" si="390"/>
        <v>0.49516081388383554</v>
      </c>
      <c r="W416" s="32" t="str">
        <f t="shared" si="377"/>
        <v>1-4.72687396861715i</v>
      </c>
      <c r="X416" s="18">
        <f t="shared" si="391"/>
        <v>4.8314943356264477</v>
      </c>
      <c r="Y416" s="18">
        <f t="shared" si="392"/>
        <v>-1.3623140274615235</v>
      </c>
      <c r="Z416" s="32" t="str">
        <f t="shared" si="378"/>
        <v>0.771997290161022+1.13807499134653i</v>
      </c>
      <c r="AA416" s="18">
        <f t="shared" si="393"/>
        <v>1.3752070760232313</v>
      </c>
      <c r="AB416" s="18">
        <f t="shared" si="394"/>
        <v>0.97475837308562829</v>
      </c>
      <c r="AC416" s="32" t="str">
        <f>IMDIV(IMSUM(COMPLEX(0,2*PI()*O416*Constants!$B$61*Constants!$B$62),COMPLEX(1,0)),IMSUM(COMPLEX(0,2*PI()*O416*Constants!$B$61*Constants!$B$62),COMPLEX(2,0)))</f>
        <v>0.795097905155731+0.245898716854246i</v>
      </c>
      <c r="AD416" s="18">
        <f t="shared" si="395"/>
        <v>0.83225408243732646</v>
      </c>
      <c r="AE416" s="18">
        <f t="shared" si="396"/>
        <v>0.29993814340030034</v>
      </c>
      <c r="AF416" s="66" t="str">
        <f t="shared" si="397"/>
        <v>-0.262420113150544-0.00812426202303175i</v>
      </c>
      <c r="AG416" s="64">
        <f t="shared" si="398"/>
        <v>-11.615897090040662</v>
      </c>
      <c r="AH416" s="61">
        <f t="shared" si="399"/>
        <v>-178.226746841004</v>
      </c>
      <c r="AI416" s="50" t="str">
        <f t="shared" si="379"/>
        <v>107.538871525172</v>
      </c>
      <c r="AJ416" s="50" t="str">
        <f t="shared" si="380"/>
        <v>1+447.107383391966i</v>
      </c>
      <c r="AK416" s="50">
        <f t="shared" si="400"/>
        <v>447.10850169014952</v>
      </c>
      <c r="AL416" s="50">
        <f t="shared" si="401"/>
        <v>1.5685597313601267</v>
      </c>
      <c r="AM416" s="50" t="str">
        <f t="shared" si="381"/>
        <v>1+0.540035584645981i</v>
      </c>
      <c r="AN416" s="50">
        <f t="shared" si="402"/>
        <v>1.1365027200512661</v>
      </c>
      <c r="AO416" s="50">
        <f t="shared" si="403"/>
        <v>0.49516081388383554</v>
      </c>
      <c r="AP416" s="50" t="str">
        <f t="shared" si="382"/>
        <v>1-1.55269590823743i</v>
      </c>
      <c r="AQ416" s="50">
        <f t="shared" si="404"/>
        <v>1.8468526155211351</v>
      </c>
      <c r="AR416" s="50">
        <f t="shared" si="405"/>
        <v>-0.99862154345180298</v>
      </c>
      <c r="AS416" s="59" t="str">
        <f t="shared" si="406"/>
        <v>-0.242576188097282-0.442743703967058i</v>
      </c>
      <c r="AT416" s="50">
        <f t="shared" si="407"/>
        <v>-5.9368946973760508</v>
      </c>
      <c r="AU416" s="61">
        <f t="shared" si="408"/>
        <v>-118.71802747593134</v>
      </c>
      <c r="AV416" s="32" t="str">
        <f t="shared" si="383"/>
        <v>-0.0000333333333333333</v>
      </c>
      <c r="AW416" s="32" t="str">
        <f t="shared" si="384"/>
        <v>0.0288018978477856i</v>
      </c>
      <c r="AX416" s="32">
        <f t="shared" si="409"/>
        <v>2.8801897847785599E-2</v>
      </c>
      <c r="AY416" s="32">
        <f t="shared" si="410"/>
        <v>1.5707963267948966</v>
      </c>
      <c r="AZ416" s="32" t="str">
        <f t="shared" si="385"/>
        <v>1+11.7507742955376i</v>
      </c>
      <c r="BA416" s="32">
        <f t="shared" si="411"/>
        <v>11.793247921784193</v>
      </c>
      <c r="BB416" s="32">
        <f t="shared" si="412"/>
        <v>1.4859001009488326</v>
      </c>
      <c r="BC416" s="32" t="str">
        <f t="shared" si="386"/>
        <v>1+564.037166185803i</v>
      </c>
      <c r="BD416" s="32">
        <f t="shared" si="413"/>
        <v>564.03805265151323</v>
      </c>
      <c r="BE416" s="32">
        <f t="shared" si="414"/>
        <v>1.5690233958389443</v>
      </c>
      <c r="BF416" s="59" t="str">
        <f t="shared" si="415"/>
        <v>-0.0045957365516606+0.0551607940825029i</v>
      </c>
      <c r="BG416" s="50">
        <f t="shared" si="416"/>
        <v>-25.137347689319625</v>
      </c>
      <c r="BH416" s="61">
        <f t="shared" si="417"/>
        <v>94.762613976424774</v>
      </c>
      <c r="BI416" s="59" t="str">
        <f t="shared" si="418"/>
        <v>0.00165415445042162-0.0144379648566698i</v>
      </c>
      <c r="BJ416" s="64">
        <f t="shared" si="419"/>
        <v>-36.753244779360259</v>
      </c>
      <c r="BK416" s="61">
        <f t="shared" si="420"/>
        <v>-83.464132864579256</v>
      </c>
      <c r="BL416" s="59" t="str">
        <f t="shared" si="371"/>
        <v>0.0255369105400527-0.0113459617376137i</v>
      </c>
      <c r="BM416" s="64">
        <f t="shared" si="421"/>
        <v>-31.074242386695662</v>
      </c>
      <c r="BN416" s="61">
        <f t="shared" si="372"/>
        <v>-23.95541349950663</v>
      </c>
      <c r="BO416" s="50">
        <f t="shared" si="422"/>
        <v>-36.753244779360259</v>
      </c>
      <c r="BP416" s="61">
        <f t="shared" si="423"/>
        <v>-83.464132864579256</v>
      </c>
    </row>
    <row r="417" spans="14:68" x14ac:dyDescent="0.25">
      <c r="N417" s="11">
        <v>99</v>
      </c>
      <c r="O417" s="51">
        <f t="shared" si="373"/>
        <v>97723.722095581266</v>
      </c>
      <c r="P417" s="49" t="str">
        <f t="shared" si="374"/>
        <v>37.1583961085025</v>
      </c>
      <c r="Q417" s="18" t="str">
        <f t="shared" si="375"/>
        <v>1+481.272030299018i</v>
      </c>
      <c r="R417" s="18">
        <f t="shared" si="387"/>
        <v>481.27306921137699</v>
      </c>
      <c r="S417" s="18">
        <f t="shared" si="388"/>
        <v>1.5687185028244057</v>
      </c>
      <c r="T417" s="18" t="str">
        <f t="shared" si="376"/>
        <v>1+0.552614629350472i</v>
      </c>
      <c r="U417" s="18">
        <f t="shared" si="389"/>
        <v>1.1425335568691886</v>
      </c>
      <c r="V417" s="18">
        <f t="shared" si="390"/>
        <v>0.50484838736547133</v>
      </c>
      <c r="W417" s="32" t="str">
        <f t="shared" si="377"/>
        <v>1-4.83697700748024i</v>
      </c>
      <c r="X417" s="18">
        <f t="shared" si="391"/>
        <v>4.9392657926955597</v>
      </c>
      <c r="Y417" s="18">
        <f t="shared" si="392"/>
        <v>-1.3669278084452081</v>
      </c>
      <c r="Z417" s="32" t="str">
        <f t="shared" si="378"/>
        <v>0.761251853494641+1.16458416333488i</v>
      </c>
      <c r="AA417" s="18">
        <f t="shared" si="393"/>
        <v>1.3913161603098803</v>
      </c>
      <c r="AB417" s="18">
        <f t="shared" si="394"/>
        <v>0.99184659531013741</v>
      </c>
      <c r="AC417" s="32" t="str">
        <f>IMDIV(IMSUM(COMPLEX(0,2*PI()*O417*Constants!$B$61*Constants!$B$62),COMPLEX(1,0)),IMSUM(COMPLEX(0,2*PI()*O417*Constants!$B$61*Constants!$B$62),COMPLEX(2,0)))</f>
        <v>0.800643033455269+0.244816835945669i</v>
      </c>
      <c r="AD417" s="18">
        <f t="shared" si="395"/>
        <v>0.83723625708810734</v>
      </c>
      <c r="AE417" s="18">
        <f t="shared" si="396"/>
        <v>0.29674674506872128</v>
      </c>
      <c r="AF417" s="66" t="str">
        <f t="shared" si="397"/>
        <v>-0.262159419793218-0.00411489836763738i</v>
      </c>
      <c r="AG417" s="64">
        <f t="shared" si="398"/>
        <v>-11.627620817732856</v>
      </c>
      <c r="AH417" s="61">
        <f t="shared" si="399"/>
        <v>-179.1007496478787</v>
      </c>
      <c r="AI417" s="50" t="str">
        <f t="shared" si="379"/>
        <v>107.538871525172</v>
      </c>
      <c r="AJ417" s="50" t="str">
        <f t="shared" si="380"/>
        <v>1+457.521852221983i</v>
      </c>
      <c r="AK417" s="50">
        <f t="shared" si="400"/>
        <v>457.52294506465364</v>
      </c>
      <c r="AL417" s="50">
        <f t="shared" si="401"/>
        <v>1.5686106423237891</v>
      </c>
      <c r="AM417" s="50" t="str">
        <f t="shared" si="381"/>
        <v>1+0.552614629350472i</v>
      </c>
      <c r="AN417" s="50">
        <f t="shared" si="402"/>
        <v>1.1425335568691886</v>
      </c>
      <c r="AO417" s="50">
        <f t="shared" si="403"/>
        <v>0.50484838736547133</v>
      </c>
      <c r="AP417" s="50" t="str">
        <f t="shared" si="382"/>
        <v>1-1.58886284204236i</v>
      </c>
      <c r="AQ417" s="50">
        <f t="shared" si="404"/>
        <v>1.8773612147966958</v>
      </c>
      <c r="AR417" s="50">
        <f t="shared" si="405"/>
        <v>-1.0090528687093956</v>
      </c>
      <c r="AS417" s="59" t="str">
        <f t="shared" si="406"/>
        <v>-0.242600454327562-0.441954199021375i</v>
      </c>
      <c r="AT417" s="50">
        <f t="shared" si="407"/>
        <v>-5.94861197003853</v>
      </c>
      <c r="AU417" s="61">
        <f t="shared" si="408"/>
        <v>-118.76355829704782</v>
      </c>
      <c r="AV417" s="32" t="str">
        <f t="shared" si="383"/>
        <v>-0.0000333333333333333</v>
      </c>
      <c r="AW417" s="32" t="str">
        <f t="shared" si="384"/>
        <v>0.0294727802320252i</v>
      </c>
      <c r="AX417" s="32">
        <f t="shared" si="409"/>
        <v>2.9472780232025202E-2</v>
      </c>
      <c r="AY417" s="32">
        <f t="shared" si="410"/>
        <v>1.5707963267948966</v>
      </c>
      <c r="AZ417" s="32" t="str">
        <f t="shared" si="385"/>
        <v>1+12.0244849904964i</v>
      </c>
      <c r="BA417" s="32">
        <f t="shared" si="411"/>
        <v>12.065995163544251</v>
      </c>
      <c r="BB417" s="32">
        <f t="shared" si="412"/>
        <v>1.4878236154277262</v>
      </c>
      <c r="BC417" s="32" t="str">
        <f t="shared" si="386"/>
        <v>1+577.175279543827i</v>
      </c>
      <c r="BD417" s="32">
        <f t="shared" si="413"/>
        <v>577.17614583114471</v>
      </c>
      <c r="BE417" s="32">
        <f t="shared" si="414"/>
        <v>1.5690637525928524</v>
      </c>
      <c r="BF417" s="59" t="str">
        <f t="shared" si="415"/>
        <v>-0.004390315068528+0.0539222647141816i</v>
      </c>
      <c r="BG417" s="50">
        <f t="shared" si="416"/>
        <v>-25.335942671207064</v>
      </c>
      <c r="BH417" s="61">
        <f t="shared" si="417"/>
        <v>94.65471698662563</v>
      </c>
      <c r="BI417" s="59" t="str">
        <f t="shared" si="418"/>
        <v>0.00137284709012642-0.0141181639310973i</v>
      </c>
      <c r="BJ417" s="64">
        <f t="shared" si="419"/>
        <v>-36.963563488939897</v>
      </c>
      <c r="BK417" s="61">
        <f t="shared" si="420"/>
        <v>-84.446032661253099</v>
      </c>
      <c r="BL417" s="59" t="str">
        <f t="shared" si="371"/>
        <v>0.0248962637414407-0.0111412477384688i</v>
      </c>
      <c r="BM417" s="64">
        <f t="shared" si="421"/>
        <v>-31.284554641245595</v>
      </c>
      <c r="BN417" s="61">
        <f t="shared" si="372"/>
        <v>-24.108841310422285</v>
      </c>
      <c r="BO417" s="50">
        <f t="shared" si="422"/>
        <v>-36.963563488939897</v>
      </c>
      <c r="BP417" s="61">
        <f t="shared" si="423"/>
        <v>-84.446032661253099</v>
      </c>
    </row>
    <row r="418" spans="14:68" x14ac:dyDescent="0.25">
      <c r="N418" s="11">
        <v>100</v>
      </c>
      <c r="O418" s="51">
        <f t="shared" si="373"/>
        <v>100000</v>
      </c>
      <c r="P418" s="49" t="str">
        <f t="shared" si="374"/>
        <v>37.1583961085025</v>
      </c>
      <c r="Q418" s="18" t="str">
        <f t="shared" si="375"/>
        <v>1+492.482295985715i</v>
      </c>
      <c r="R418" s="18">
        <f t="shared" si="387"/>
        <v>492.48331124959088</v>
      </c>
      <c r="S418" s="18">
        <f t="shared" si="388"/>
        <v>1.5687657997408198</v>
      </c>
      <c r="T418" s="18" t="str">
        <f t="shared" si="376"/>
        <v>1+0.565486677646164i</v>
      </c>
      <c r="U418" s="18">
        <f t="shared" si="389"/>
        <v>1.1488146859242776</v>
      </c>
      <c r="V418" s="18">
        <f t="shared" si="390"/>
        <v>0.51465537615698376</v>
      </c>
      <c r="W418" s="32" t="str">
        <f t="shared" si="377"/>
        <v>1-4.94964467557766i</v>
      </c>
      <c r="X418" s="18">
        <f t="shared" si="391"/>
        <v>5.0496517121950379</v>
      </c>
      <c r="Y418" s="18">
        <f t="shared" si="392"/>
        <v>-1.3714450879264823</v>
      </c>
      <c r="Z418" s="32" t="str">
        <f t="shared" si="378"/>
        <v>0.75+1.19171081326173i</v>
      </c>
      <c r="AA418" s="18">
        <f t="shared" si="393"/>
        <v>1.4080748071196125</v>
      </c>
      <c r="AB418" s="18">
        <f t="shared" si="394"/>
        <v>1.0090769589580779</v>
      </c>
      <c r="AC418" s="32" t="str">
        <f>IMDIV(IMSUM(COMPLEX(0,2*PI()*O418*Constants!$B$61*Constants!$B$62),COMPLEX(1,0)),IMSUM(COMPLEX(0,2*PI()*O418*Constants!$B$61*Constants!$B$62),COMPLEX(2,0)))</f>
        <v>0.806136681630424+0.243615830716159i</v>
      </c>
      <c r="AD418" s="18">
        <f t="shared" si="395"/>
        <v>0.84214311280543985</v>
      </c>
      <c r="AE418" s="18">
        <f t="shared" si="396"/>
        <v>0.2934754256827446</v>
      </c>
      <c r="AF418" s="66" t="str">
        <f t="shared" si="397"/>
        <v>-0.261780309642845-0.00011403381484438i</v>
      </c>
      <c r="AG418" s="64">
        <f t="shared" si="398"/>
        <v>-11.641259634516967</v>
      </c>
      <c r="AH418" s="61">
        <f t="shared" si="399"/>
        <v>-179.9750414540039</v>
      </c>
      <c r="AI418" s="50" t="str">
        <f t="shared" si="379"/>
        <v>107.538871525172</v>
      </c>
      <c r="AJ418" s="50" t="str">
        <f t="shared" si="380"/>
        <v>1+468.178905194065i</v>
      </c>
      <c r="AK418" s="50">
        <f t="shared" si="400"/>
        <v>468.17997316065674</v>
      </c>
      <c r="AL418" s="50">
        <f t="shared" si="401"/>
        <v>1.568660394423383</v>
      </c>
      <c r="AM418" s="50" t="str">
        <f t="shared" si="381"/>
        <v>1+0.565486677646164i</v>
      </c>
      <c r="AN418" s="50">
        <f t="shared" si="402"/>
        <v>1.1488146859242776</v>
      </c>
      <c r="AO418" s="50">
        <f t="shared" si="403"/>
        <v>0.51465537615698376</v>
      </c>
      <c r="AP418" s="50" t="str">
        <f t="shared" si="382"/>
        <v>1-1.62587221195723i</v>
      </c>
      <c r="AQ418" s="50">
        <f t="shared" si="404"/>
        <v>1.9087850716135368</v>
      </c>
      <c r="AR418" s="50">
        <f t="shared" si="405"/>
        <v>-1.0193808285606192</v>
      </c>
      <c r="AS418" s="59" t="str">
        <f t="shared" si="406"/>
        <v>-0.242623628407772-0.441399019266485i</v>
      </c>
      <c r="AT418" s="50">
        <f t="shared" si="407"/>
        <v>-5.9568069808048572</v>
      </c>
      <c r="AU418" s="61">
        <f t="shared" si="408"/>
        <v>-118.79625832534632</v>
      </c>
      <c r="AV418" s="32" t="str">
        <f t="shared" si="383"/>
        <v>-0.0000333333333333333</v>
      </c>
      <c r="AW418" s="32" t="str">
        <f t="shared" si="384"/>
        <v>0.030159289474462i</v>
      </c>
      <c r="AX418" s="32">
        <f t="shared" si="409"/>
        <v>3.0159289474462E-2</v>
      </c>
      <c r="AY418" s="32">
        <f t="shared" si="410"/>
        <v>1.5707963267948966</v>
      </c>
      <c r="AZ418" s="32" t="str">
        <f t="shared" si="385"/>
        <v>1+12.30457122656i</v>
      </c>
      <c r="BA418" s="32">
        <f t="shared" si="411"/>
        <v>12.345139653705349</v>
      </c>
      <c r="BB418" s="32">
        <f t="shared" si="412"/>
        <v>1.4897039402062819</v>
      </c>
      <c r="BC418" s="32" t="str">
        <f t="shared" si="386"/>
        <v>1+590.619418874883i</v>
      </c>
      <c r="BD418" s="32">
        <f t="shared" si="413"/>
        <v>590.62026544312255</v>
      </c>
      <c r="BE418" s="32">
        <f t="shared" si="414"/>
        <v>1.5691031907203414</v>
      </c>
      <c r="BF418" s="59" t="str">
        <f t="shared" si="415"/>
        <v>-0.0041940148861581+0.0527107975523456i</v>
      </c>
      <c r="BG418" s="50">
        <f t="shared" si="416"/>
        <v>-25.534600464500702</v>
      </c>
      <c r="BH418" s="61">
        <f t="shared" si="417"/>
        <v>94.549241950957537</v>
      </c>
      <c r="BI418" s="59" t="str">
        <f t="shared" si="418"/>
        <v>0.00110392132887355-0.0137981706452574i</v>
      </c>
      <c r="BJ418" s="64">
        <f t="shared" si="419"/>
        <v>-37.175860099017648</v>
      </c>
      <c r="BK418" s="61">
        <f t="shared" si="420"/>
        <v>-85.425799503046377</v>
      </c>
      <c r="BL418" s="59" t="str">
        <f t="shared" si="371"/>
        <v>0.0242840614536355-0.0109376509008784i</v>
      </c>
      <c r="BM418" s="64">
        <f t="shared" si="421"/>
        <v>-31.491407445305548</v>
      </c>
      <c r="BN418" s="61">
        <f t="shared" si="372"/>
        <v>-24.247016374388799</v>
      </c>
      <c r="BO418" s="50">
        <f t="shared" si="422"/>
        <v>-37.175860099017648</v>
      </c>
      <c r="BP418" s="61">
        <f t="shared" si="423"/>
        <v>-85.425799503046377</v>
      </c>
    </row>
    <row r="419" spans="14:68" x14ac:dyDescent="0.25">
      <c r="N419" s="11">
        <v>1</v>
      </c>
      <c r="O419" s="51">
        <f>10^(5+(N419/100))</f>
        <v>102329.29922807543</v>
      </c>
      <c r="P419" s="49" t="str">
        <f t="shared" si="374"/>
        <v>37.1583961085025</v>
      </c>
      <c r="Q419" s="18" t="str">
        <f t="shared" si="375"/>
        <v>1+503.953682304518i</v>
      </c>
      <c r="R419" s="18">
        <f t="shared" si="387"/>
        <v>503.95467445821259</v>
      </c>
      <c r="S419" s="18">
        <f t="shared" si="388"/>
        <v>1.5688120200567541</v>
      </c>
      <c r="T419" s="18" t="str">
        <f t="shared" si="376"/>
        <v>1+0.578658554463445i</v>
      </c>
      <c r="U419" s="18">
        <f t="shared" si="389"/>
        <v>1.155355236563077</v>
      </c>
      <c r="V419" s="18">
        <f t="shared" si="390"/>
        <v>0.52457943369225057</v>
      </c>
      <c r="W419" s="32" t="str">
        <f t="shared" si="377"/>
        <v>1-5.06493671079836i</v>
      </c>
      <c r="X419" s="18">
        <f t="shared" si="391"/>
        <v>5.162710904591977</v>
      </c>
      <c r="Y419" s="18">
        <f t="shared" si="392"/>
        <v>-1.3758675232482505</v>
      </c>
      <c r="Z419" s="32" t="str">
        <f t="shared" si="378"/>
        <v>0.738217862987275+1.21946932403592i</v>
      </c>
      <c r="AA419" s="18">
        <f t="shared" si="393"/>
        <v>1.4255072940880107</v>
      </c>
      <c r="AB419" s="18">
        <f t="shared" si="394"/>
        <v>1.0264450202685276</v>
      </c>
      <c r="AC419" s="32" t="str">
        <f>IMDIV(IMSUM(COMPLEX(0,2*PI()*O419*Constants!$B$61*Constants!$B$62),COMPLEX(1,0)),IMSUM(COMPLEX(0,2*PI()*O419*Constants!$B$61*Constants!$B$62),COMPLEX(2,0)))</f>
        <v>0.811573823459561+0.242298708755476i</v>
      </c>
      <c r="AD419" s="18">
        <f t="shared" si="395"/>
        <v>0.84697150789701414</v>
      </c>
      <c r="AE419" s="18">
        <f t="shared" si="396"/>
        <v>0.29012977184445149</v>
      </c>
      <c r="AF419" s="66" t="str">
        <f t="shared" si="397"/>
        <v>-0.261282589241869+0.00387319826508811i</v>
      </c>
      <c r="AG419" s="64">
        <f t="shared" si="398"/>
        <v>-11.656836342336785</v>
      </c>
      <c r="AH419" s="61">
        <f t="shared" si="399"/>
        <v>179.15072159421504</v>
      </c>
      <c r="AI419" s="50" t="str">
        <f t="shared" si="379"/>
        <v>107.538871525172</v>
      </c>
      <c r="AJ419" s="50" t="str">
        <f t="shared" si="380"/>
        <v>1+479.084192818762i</v>
      </c>
      <c r="AK419" s="50">
        <f t="shared" si="400"/>
        <v>479.08523647551976</v>
      </c>
      <c r="AL419" s="50">
        <f t="shared" si="401"/>
        <v>1.5687090140371442</v>
      </c>
      <c r="AM419" s="50" t="str">
        <f t="shared" si="381"/>
        <v>1+0.578658554463445i</v>
      </c>
      <c r="AN419" s="50">
        <f t="shared" si="402"/>
        <v>1.155355236563077</v>
      </c>
      <c r="AO419" s="50">
        <f t="shared" si="403"/>
        <v>0.52457943369225057</v>
      </c>
      <c r="AP419" s="50" t="str">
        <f t="shared" si="382"/>
        <v>1-1.66374364083984i</v>
      </c>
      <c r="AQ419" s="50">
        <f t="shared" si="404"/>
        <v>1.9411447402074393</v>
      </c>
      <c r="AR419" s="50">
        <f t="shared" si="405"/>
        <v>-1.0296020854654921</v>
      </c>
      <c r="AS419" s="59" t="str">
        <f t="shared" si="406"/>
        <v>-0.242645759491861-0.441077870657467i</v>
      </c>
      <c r="AT419" s="50">
        <f t="shared" si="407"/>
        <v>-5.9614771281057912</v>
      </c>
      <c r="AU419" s="61">
        <f t="shared" si="408"/>
        <v>-118.81607229356871</v>
      </c>
      <c r="AV419" s="32" t="str">
        <f t="shared" si="383"/>
        <v>-0.0000333333333333333</v>
      </c>
      <c r="AW419" s="32" t="str">
        <f t="shared" si="384"/>
        <v>0.0308617895713837i</v>
      </c>
      <c r="AX419" s="32">
        <f t="shared" si="409"/>
        <v>3.0861789571383701E-2</v>
      </c>
      <c r="AY419" s="32">
        <f t="shared" si="410"/>
        <v>1.5707963267948966</v>
      </c>
      <c r="AZ419" s="32" t="str">
        <f t="shared" si="385"/>
        <v>1+12.5911815091583i</v>
      </c>
      <c r="BA419" s="32">
        <f t="shared" si="411"/>
        <v>12.630829418394102</v>
      </c>
      <c r="BB419" s="32">
        <f t="shared" si="412"/>
        <v>1.4915420190430435</v>
      </c>
      <c r="BC419" s="32" t="str">
        <f t="shared" si="386"/>
        <v>1+604.376712439599i</v>
      </c>
      <c r="BD419" s="32">
        <f t="shared" si="413"/>
        <v>604.37753973761949</v>
      </c>
      <c r="BE419" s="32">
        <f t="shared" si="414"/>
        <v>1.5691417311315379</v>
      </c>
      <c r="BF419" s="59" t="str">
        <f t="shared" si="415"/>
        <v>-0.00400643630049483+0.0515258509303036i</v>
      </c>
      <c r="BG419" s="50">
        <f t="shared" si="416"/>
        <v>-25.733318279361907</v>
      </c>
      <c r="BH419" s="61">
        <f t="shared" si="417"/>
        <v>94.446135994101027</v>
      </c>
      <c r="BI419" s="59" t="str">
        <f t="shared" si="418"/>
        <v>0.000847242213795463-0.0134783254660886i</v>
      </c>
      <c r="BJ419" s="64">
        <f t="shared" si="419"/>
        <v>-37.390154621698663</v>
      </c>
      <c r="BK419" s="61">
        <f t="shared" si="420"/>
        <v>-86.40314241168393</v>
      </c>
      <c r="BL419" s="59" t="str">
        <f t="shared" si="371"/>
        <v>0.0236990573911417-0.0107353788401009i</v>
      </c>
      <c r="BM419" s="64">
        <f t="shared" si="421"/>
        <v>-31.694795407467701</v>
      </c>
      <c r="BN419" s="61">
        <f t="shared" si="372"/>
        <v>-24.369936299467703</v>
      </c>
      <c r="BO419" s="50">
        <f t="shared" si="422"/>
        <v>-37.390154621698663</v>
      </c>
      <c r="BP419" s="61">
        <f t="shared" si="423"/>
        <v>-86.40314241168393</v>
      </c>
    </row>
    <row r="420" spans="14:68" x14ac:dyDescent="0.25">
      <c r="N420" s="11">
        <v>2</v>
      </c>
      <c r="O420" s="51">
        <f t="shared" ref="O420:O483" si="424">10^(5+(N420/100))</f>
        <v>104712.85480508996</v>
      </c>
      <c r="P420" s="49" t="str">
        <f t="shared" si="374"/>
        <v>37.1583961085025</v>
      </c>
      <c r="Q420" s="18" t="str">
        <f t="shared" si="375"/>
        <v>1+515.692271536295i</v>
      </c>
      <c r="R420" s="18">
        <f t="shared" si="387"/>
        <v>515.69324110585728</v>
      </c>
      <c r="S420" s="18">
        <f t="shared" si="388"/>
        <v>1.568857188278042</v>
      </c>
      <c r="T420" s="18" t="str">
        <f t="shared" si="376"/>
        <v>1+0.592137243705754i</v>
      </c>
      <c r="U420" s="18">
        <f t="shared" si="389"/>
        <v>1.1621645818830686</v>
      </c>
      <c r="V420" s="18">
        <f t="shared" si="390"/>
        <v>0.53461800207893762</v>
      </c>
      <c r="W420" s="32" t="str">
        <f t="shared" si="377"/>
        <v>1-5.1829142425055i</v>
      </c>
      <c r="X420" s="18">
        <f t="shared" si="391"/>
        <v>5.2785035801035844</v>
      </c>
      <c r="Y420" s="18">
        <f t="shared" si="392"/>
        <v>-1.3801967669648623</v>
      </c>
      <c r="Z420" s="32" t="str">
        <f t="shared" si="378"/>
        <v>0.725880450964204+1.24787441358731i</v>
      </c>
      <c r="AA420" s="18">
        <f t="shared" si="393"/>
        <v>1.4436387987228207</v>
      </c>
      <c r="AB420" s="18">
        <f t="shared" si="394"/>
        <v>1.0439462447579431</v>
      </c>
      <c r="AC420" s="32" t="str">
        <f>IMDIV(IMSUM(COMPLEX(0,2*PI()*O420*Constants!$B$61*Constants!$B$62),COMPLEX(1,0)),IMSUM(COMPLEX(0,2*PI()*O420*Constants!$B$61*Constants!$B$62),COMPLEX(2,0)))</f>
        <v>0.816949654041065+0.240868727367796i</v>
      </c>
      <c r="AD420" s="18">
        <f t="shared" si="395"/>
        <v>0.85171854568372374</v>
      </c>
      <c r="AE420" s="18">
        <f t="shared" si="396"/>
        <v>0.28671535436957868</v>
      </c>
      <c r="AF420" s="66" t="str">
        <f t="shared" si="397"/>
        <v>-0.260666430724135+0.00784169605572527i</v>
      </c>
      <c r="AG420" s="64">
        <f t="shared" si="398"/>
        <v>-11.674369296558369</v>
      </c>
      <c r="AH420" s="61">
        <f t="shared" si="399"/>
        <v>178.2768758428719</v>
      </c>
      <c r="AI420" s="50" t="str">
        <f t="shared" si="379"/>
        <v>107.538871525172</v>
      </c>
      <c r="AJ420" s="50" t="str">
        <f t="shared" si="380"/>
        <v>1+490.243497223921i</v>
      </c>
      <c r="AK420" s="50">
        <f t="shared" si="400"/>
        <v>490.24451712420068</v>
      </c>
      <c r="AL420" s="50">
        <f t="shared" si="401"/>
        <v>1.568756526942916</v>
      </c>
      <c r="AM420" s="50" t="str">
        <f t="shared" si="381"/>
        <v>1+0.592137243705754i</v>
      </c>
      <c r="AN420" s="50">
        <f t="shared" si="402"/>
        <v>1.1621645818830686</v>
      </c>
      <c r="AO420" s="50">
        <f t="shared" si="403"/>
        <v>0.53461800207893762</v>
      </c>
      <c r="AP420" s="50" t="str">
        <f t="shared" si="382"/>
        <v>1-1.70249720862308i</v>
      </c>
      <c r="AQ420" s="50">
        <f t="shared" si="404"/>
        <v>1.9744611278446023</v>
      </c>
      <c r="AR420" s="50">
        <f t="shared" si="405"/>
        <v>-1.0397135155735222</v>
      </c>
      <c r="AS420" s="59" t="str">
        <f t="shared" si="406"/>
        <v>-0.242666894521573-0.440990583214546i</v>
      </c>
      <c r="AT420" s="50">
        <f t="shared" si="407"/>
        <v>-5.962620933142599</v>
      </c>
      <c r="AU420" s="61">
        <f t="shared" si="408"/>
        <v>-118.822969251663</v>
      </c>
      <c r="AV420" s="32" t="str">
        <f t="shared" si="383"/>
        <v>-0.0000333333333333333</v>
      </c>
      <c r="AW420" s="32" t="str">
        <f t="shared" si="384"/>
        <v>0.0315806529976402i</v>
      </c>
      <c r="AX420" s="32">
        <f t="shared" si="409"/>
        <v>3.15806529976402E-2</v>
      </c>
      <c r="AY420" s="32">
        <f t="shared" si="410"/>
        <v>1.5707963267948966</v>
      </c>
      <c r="AZ420" s="32" t="str">
        <f t="shared" si="385"/>
        <v>1+12.8844678028567i</v>
      </c>
      <c r="BA420" s="32">
        <f t="shared" si="411"/>
        <v>12.92321595280567</v>
      </c>
      <c r="BB420" s="32">
        <f t="shared" si="412"/>
        <v>1.4933387768039454</v>
      </c>
      <c r="BC420" s="32" t="str">
        <f t="shared" si="386"/>
        <v>1+618.454454537122i</v>
      </c>
      <c r="BD420" s="32">
        <f t="shared" si="413"/>
        <v>618.45526300356528</v>
      </c>
      <c r="BE420" s="32">
        <f t="shared" si="414"/>
        <v>1.5691793942606196</v>
      </c>
      <c r="BF420" s="59" t="str">
        <f t="shared" si="415"/>
        <v>-0.00382719665836156+0.050366890666259i</v>
      </c>
      <c r="BG420" s="50">
        <f t="shared" si="416"/>
        <v>-25.93209344827811</v>
      </c>
      <c r="BH420" s="61">
        <f t="shared" si="417"/>
        <v>94.345347295933635</v>
      </c>
      <c r="BI420" s="59" t="str">
        <f t="shared" si="418"/>
        <v>0.000602659844737695-0.0131589693295868i</v>
      </c>
      <c r="BJ420" s="64">
        <f t="shared" si="419"/>
        <v>-37.606462744836506</v>
      </c>
      <c r="BK420" s="61">
        <f t="shared" si="420"/>
        <v>-87.377776861194462</v>
      </c>
      <c r="BL420" s="59" t="str">
        <f t="shared" si="371"/>
        <v>0.0231400584174248-0.010534619258241i</v>
      </c>
      <c r="BM420" s="64">
        <f t="shared" si="421"/>
        <v>-31.894714381420709</v>
      </c>
      <c r="BN420" s="61">
        <f t="shared" si="372"/>
        <v>-24.477621955729219</v>
      </c>
      <c r="BO420" s="50">
        <f t="shared" si="422"/>
        <v>-37.606462744836506</v>
      </c>
      <c r="BP420" s="61">
        <f t="shared" si="423"/>
        <v>-87.377776861194462</v>
      </c>
    </row>
    <row r="421" spans="14:68" x14ac:dyDescent="0.25">
      <c r="N421" s="11">
        <v>3</v>
      </c>
      <c r="O421" s="51">
        <f t="shared" si="424"/>
        <v>107151.93052376082</v>
      </c>
      <c r="P421" s="49" t="str">
        <f t="shared" si="374"/>
        <v>37.1583961085025</v>
      </c>
      <c r="Q421" s="18" t="str">
        <f t="shared" si="375"/>
        <v>1+527.704287636436i</v>
      </c>
      <c r="R421" s="18">
        <f t="shared" si="387"/>
        <v>527.7052351359406</v>
      </c>
      <c r="S421" s="18">
        <f t="shared" si="388"/>
        <v>1.5689013283527344</v>
      </c>
      <c r="T421" s="18" t="str">
        <f t="shared" si="376"/>
        <v>1+0.60592989195254i</v>
      </c>
      <c r="U421" s="18">
        <f t="shared" si="389"/>
        <v>1.1692523397289469</v>
      </c>
      <c r="V421" s="18">
        <f t="shared" si="390"/>
        <v>0.54476831040706897</v>
      </c>
      <c r="W421" s="32" t="str">
        <f t="shared" si="377"/>
        <v>1-5.30363982394799i</v>
      </c>
      <c r="X421" s="18">
        <f t="shared" si="391"/>
        <v>5.39709138167653</v>
      </c>
      <c r="Y421" s="18">
        <f t="shared" si="392"/>
        <v>-1.3844344650649512</v>
      </c>
      <c r="Z421" s="32" t="str">
        <f t="shared" si="378"/>
        <v>0.712961594625778+1.27694114267035i</v>
      </c>
      <c r="AA421" s="18">
        <f t="shared" si="393"/>
        <v>1.4624954417896801</v>
      </c>
      <c r="AB421" s="18">
        <f t="shared" si="394"/>
        <v>1.0615760185951393</v>
      </c>
      <c r="AC421" s="32" t="str">
        <f>IMDIV(IMSUM(COMPLEX(0,2*PI()*O421*Constants!$B$61*Constants!$B$62),COMPLEX(1,0)),IMSUM(COMPLEX(0,2*PI()*O421*Constants!$B$61*Constants!$B$62),COMPLEX(2,0)))</f>
        <v>0.822259604628713+0.239329374584279i</v>
      </c>
      <c r="AD421" s="18">
        <f t="shared" si="395"/>
        <v>0.85638157788632374</v>
      </c>
      <c r="AE421" s="18">
        <f t="shared" si="396"/>
        <v>0.28323771036461021</v>
      </c>
      <c r="AF421" s="66" t="str">
        <f t="shared" si="397"/>
        <v>-0.259932362919078+0.0117864189866588i</v>
      </c>
      <c r="AG421" s="64">
        <f t="shared" si="398"/>
        <v>-11.693872567666627</v>
      </c>
      <c r="AH421" s="61">
        <f t="shared" si="399"/>
        <v>177.40374845608204</v>
      </c>
      <c r="AI421" s="50" t="str">
        <f t="shared" si="379"/>
        <v>107.538871525172</v>
      </c>
      <c r="AJ421" s="50" t="str">
        <f t="shared" si="380"/>
        <v>1+501.662735220449i</v>
      </c>
      <c r="AK421" s="50">
        <f t="shared" si="400"/>
        <v>501.66373190501054</v>
      </c>
      <c r="AL421" s="50">
        <f t="shared" si="401"/>
        <v>1.568802958331811</v>
      </c>
      <c r="AM421" s="50" t="str">
        <f t="shared" si="381"/>
        <v>1+0.60592989195254i</v>
      </c>
      <c r="AN421" s="50">
        <f t="shared" si="402"/>
        <v>1.1692523397289469</v>
      </c>
      <c r="AO421" s="50">
        <f t="shared" si="403"/>
        <v>0.54476831040706897</v>
      </c>
      <c r="AP421" s="50" t="str">
        <f t="shared" si="382"/>
        <v>1-1.74215346296154i</v>
      </c>
      <c r="AQ421" s="50">
        <f t="shared" si="404"/>
        <v>2.0087555073997647</v>
      </c>
      <c r="AR421" s="50">
        <f t="shared" si="405"/>
        <v>-1.0497122091534321</v>
      </c>
      <c r="AS421" s="59" t="str">
        <f t="shared" si="406"/>
        <v>-0.242687078325988-0.441137110934379i</v>
      </c>
      <c r="AT421" s="50">
        <f t="shared" si="407"/>
        <v>-5.9602380327044511</v>
      </c>
      <c r="AU421" s="61">
        <f t="shared" si="408"/>
        <v>-118.81694268909843</v>
      </c>
      <c r="AV421" s="32" t="str">
        <f t="shared" si="383"/>
        <v>-0.0000333333333333333</v>
      </c>
      <c r="AW421" s="32" t="str">
        <f t="shared" si="384"/>
        <v>0.0323162609041355i</v>
      </c>
      <c r="AX421" s="32">
        <f t="shared" si="409"/>
        <v>3.2316260904135502E-2</v>
      </c>
      <c r="AY421" s="32">
        <f t="shared" si="410"/>
        <v>1.5707963267948966</v>
      </c>
      <c r="AZ421" s="32" t="str">
        <f t="shared" si="385"/>
        <v>1+13.1845856119303i</v>
      </c>
      <c r="BA421" s="32">
        <f t="shared" si="411"/>
        <v>13.22245430161585</v>
      </c>
      <c r="BB421" s="32">
        <f t="shared" si="412"/>
        <v>1.4950951197234887</v>
      </c>
      <c r="BC421" s="32" t="str">
        <f t="shared" si="386"/>
        <v>1+632.860109372654i</v>
      </c>
      <c r="BD421" s="32">
        <f t="shared" si="413"/>
        <v>632.86089943617765</v>
      </c>
      <c r="BE421" s="32">
        <f t="shared" si="414"/>
        <v>1.5692162000766487</v>
      </c>
      <c r="BF421" s="59" t="str">
        <f t="shared" si="415"/>
        <v>-0.0036559296709275+0.0492333902037453i</v>
      </c>
      <c r="BG421" s="50">
        <f t="shared" si="416"/>
        <v>-26.130923420838393</v>
      </c>
      <c r="BH421" s="61">
        <f t="shared" si="417"/>
        <v>94.246825077186116</v>
      </c>
      <c r="BI421" s="59" t="str">
        <f t="shared" si="418"/>
        <v>0.000370009072955147-0.0128404417690638i</v>
      </c>
      <c r="BJ421" s="64">
        <f t="shared" si="419"/>
        <v>-37.824795988505031</v>
      </c>
      <c r="BK421" s="61">
        <f t="shared" si="420"/>
        <v>-88.349426466731842</v>
      </c>
      <c r="BL421" s="59" t="str">
        <f t="shared" si="371"/>
        <v>0.0226059224063878-0.010335541371818i</v>
      </c>
      <c r="BM421" s="64">
        <f t="shared" si="421"/>
        <v>-32.091161453542867</v>
      </c>
      <c r="BN421" s="61">
        <f t="shared" si="372"/>
        <v>-24.570117611912288</v>
      </c>
      <c r="BO421" s="50">
        <f t="shared" si="422"/>
        <v>-37.824795988505031</v>
      </c>
      <c r="BP421" s="61">
        <f t="shared" si="423"/>
        <v>-88.349426466731842</v>
      </c>
    </row>
    <row r="422" spans="14:68" x14ac:dyDescent="0.25">
      <c r="N422" s="11">
        <v>4</v>
      </c>
      <c r="O422" s="51">
        <f t="shared" si="424"/>
        <v>109647.81961431868</v>
      </c>
      <c r="P422" s="49" t="str">
        <f t="shared" si="374"/>
        <v>37.1583961085025</v>
      </c>
      <c r="Q422" s="18" t="str">
        <f t="shared" si="375"/>
        <v>1+539.996099534872i</v>
      </c>
      <c r="R422" s="18">
        <f t="shared" si="387"/>
        <v>539.99702546669209</v>
      </c>
      <c r="S422" s="18">
        <f t="shared" si="388"/>
        <v>1.568944463683795</v>
      </c>
      <c r="T422" s="18" t="str">
        <f t="shared" si="376"/>
        <v>1+0.620043812248469i</v>
      </c>
      <c r="U422" s="18">
        <f t="shared" si="389"/>
        <v>1.1766283734075151</v>
      </c>
      <c r="V422" s="18">
        <f t="shared" si="390"/>
        <v>0.55502737381996659</v>
      </c>
      <c r="W422" s="32" t="str">
        <f t="shared" si="377"/>
        <v>1-5.42717746542711i</v>
      </c>
      <c r="X422" s="18">
        <f t="shared" si="391"/>
        <v>5.5185374186680853</v>
      </c>
      <c r="Y422" s="18">
        <f t="shared" si="392"/>
        <v>-1.3885822553295448</v>
      </c>
      <c r="Z422" s="32" t="str">
        <f t="shared" si="378"/>
        <v>0.699433891345646+1.30668492284955i</v>
      </c>
      <c r="AA422" s="18">
        <f t="shared" si="393"/>
        <v>1.4821043336976136</v>
      </c>
      <c r="AB422" s="18">
        <f t="shared" si="394"/>
        <v>1.079329660033467</v>
      </c>
      <c r="AC422" s="32" t="str">
        <f>IMDIV(IMSUM(COMPLEX(0,2*PI()*O422*Constants!$B$61*Constants!$B$62),COMPLEX(1,0)),IMSUM(COMPLEX(0,2*PI()*O422*Constants!$B$61*Constants!$B$62),COMPLEX(2,0)))</f>
        <v>0.827499355607553+0.237684349254245i</v>
      </c>
      <c r="AD422" s="18">
        <f t="shared" si="395"/>
        <v>0.86095820654160071</v>
      </c>
      <c r="AE422" s="18">
        <f t="shared" si="396"/>
        <v>0.27970232625114627</v>
      </c>
      <c r="AF422" s="66" t="str">
        <f t="shared" si="397"/>
        <v>-0.259081259635551+0.0157024160463797i</v>
      </c>
      <c r="AG422" s="64">
        <f t="shared" si="398"/>
        <v>-11.71535612431077</v>
      </c>
      <c r="AH422" s="61">
        <f t="shared" si="399"/>
        <v>176.53165582845017</v>
      </c>
      <c r="AI422" s="50" t="str">
        <f t="shared" si="379"/>
        <v>107.538871525172</v>
      </c>
      <c r="AJ422" s="50" t="str">
        <f t="shared" si="380"/>
        <v>1+513.34796143948i</v>
      </c>
      <c r="AK422" s="50">
        <f t="shared" si="400"/>
        <v>513.3489354367747</v>
      </c>
      <c r="AL422" s="50">
        <f t="shared" si="401"/>
        <v>1.568848332821565</v>
      </c>
      <c r="AM422" s="50" t="str">
        <f t="shared" si="381"/>
        <v>1+0.620043812248469i</v>
      </c>
      <c r="AN422" s="50">
        <f t="shared" si="402"/>
        <v>1.1766283734075151</v>
      </c>
      <c r="AO422" s="50">
        <f t="shared" si="403"/>
        <v>0.55502737381996659</v>
      </c>
      <c r="AP422" s="50" t="str">
        <f t="shared" si="382"/>
        <v>1-1.78273343012619i</v>
      </c>
      <c r="AQ422" s="50">
        <f t="shared" si="404"/>
        <v>2.04404953043939</v>
      </c>
      <c r="AR422" s="50">
        <f t="shared" si="405"/>
        <v>-1.0595954701845161</v>
      </c>
      <c r="AS422" s="59" t="str">
        <f t="shared" si="406"/>
        <v>-0.242706353716622-0.441517531766983i</v>
      </c>
      <c r="AT422" s="50">
        <f t="shared" si="407"/>
        <v>-5.9543291773962279</v>
      </c>
      <c r="AU422" s="61">
        <f t="shared" si="408"/>
        <v>-118.79801056545018</v>
      </c>
      <c r="AV422" s="32" t="str">
        <f t="shared" si="383"/>
        <v>-0.0000333333333333333</v>
      </c>
      <c r="AW422" s="32" t="str">
        <f t="shared" si="384"/>
        <v>0.0330690033199183i</v>
      </c>
      <c r="AX422" s="32">
        <f t="shared" si="409"/>
        <v>3.30690033199183E-2</v>
      </c>
      <c r="AY422" s="32">
        <f t="shared" si="410"/>
        <v>1.5707963267948966</v>
      </c>
      <c r="AZ422" s="32" t="str">
        <f t="shared" si="385"/>
        <v>1+13.4916940628139i</v>
      </c>
      <c r="BA422" s="32">
        <f t="shared" si="411"/>
        <v>13.528703141268487</v>
      </c>
      <c r="BB422" s="32">
        <f t="shared" si="412"/>
        <v>1.4968119356708092</v>
      </c>
      <c r="BC422" s="32" t="str">
        <f t="shared" si="386"/>
        <v>1+647.601315015069i</v>
      </c>
      <c r="BD422" s="32">
        <f t="shared" si="413"/>
        <v>647.60208709457265</v>
      </c>
      <c r="BE422" s="32">
        <f t="shared" si="414"/>
        <v>1.5692521680941567</v>
      </c>
      <c r="BF422" s="59" t="str">
        <f t="shared" si="415"/>
        <v>-0.00349228475117583+0.0481248307294616i</v>
      </c>
      <c r="BG422" s="50">
        <f t="shared" si="416"/>
        <v>-26.329805758719559</v>
      </c>
      <c r="BH422" s="61">
        <f t="shared" si="417"/>
        <v>94.150519584804556</v>
      </c>
      <c r="BI422" s="59" t="str">
        <f t="shared" si="418"/>
        <v>0.000149109418065056-0.012523079073252i</v>
      </c>
      <c r="BJ422" s="64">
        <f t="shared" si="419"/>
        <v>-38.045161883030318</v>
      </c>
      <c r="BK422" s="61">
        <f t="shared" si="420"/>
        <v>-89.317824586745274</v>
      </c>
      <c r="BL422" s="59" t="str">
        <f t="shared" si="371"/>
        <v>0.0220955561784738-0.0101382972460106i</v>
      </c>
      <c r="BM422" s="64">
        <f t="shared" si="421"/>
        <v>-32.284134936115791</v>
      </c>
      <c r="BN422" s="61">
        <f t="shared" si="372"/>
        <v>-24.647490980645529</v>
      </c>
      <c r="BO422" s="50">
        <f t="shared" si="422"/>
        <v>-38.045161883030318</v>
      </c>
      <c r="BP422" s="61">
        <f t="shared" si="423"/>
        <v>-89.317824586745274</v>
      </c>
    </row>
    <row r="423" spans="14:68" x14ac:dyDescent="0.25">
      <c r="N423" s="11">
        <v>5</v>
      </c>
      <c r="O423" s="51">
        <f t="shared" si="424"/>
        <v>112201.84543019651</v>
      </c>
      <c r="P423" s="49" t="str">
        <f t="shared" si="374"/>
        <v>37.1583961085025</v>
      </c>
      <c r="Q423" s="18" t="str">
        <f t="shared" si="375"/>
        <v>1+552.574224512975i</v>
      </c>
      <c r="R423" s="18">
        <f t="shared" si="387"/>
        <v>552.57512936804858</v>
      </c>
      <c r="S423" s="18">
        <f t="shared" si="388"/>
        <v>1.5689866171415046</v>
      </c>
      <c r="T423" s="18" t="str">
        <f t="shared" si="376"/>
        <v>1+0.634486487980902i</v>
      </c>
      <c r="U423" s="18">
        <f t="shared" si="389"/>
        <v>1.1843027921230023</v>
      </c>
      <c r="V423" s="18">
        <f t="shared" si="390"/>
        <v>0.56539199339485835</v>
      </c>
      <c r="W423" s="32" t="str">
        <f t="shared" si="377"/>
        <v>1-5.55359266823559i</v>
      </c>
      <c r="X423" s="18">
        <f t="shared" si="391"/>
        <v>5.6429063012493925</v>
      </c>
      <c r="Y423" s="18">
        <f t="shared" si="392"/>
        <v>-1.3926417658190098</v>
      </c>
      <c r="Z423" s="32" t="str">
        <f t="shared" si="378"/>
        <v>0.685268647051457+1.33712152467086i</v>
      </c>
      <c r="AA423" s="18">
        <f t="shared" si="393"/>
        <v>1.5024936240696198</v>
      </c>
      <c r="AB423" s="18">
        <f t="shared" si="394"/>
        <v>1.0972024307978923</v>
      </c>
      <c r="AC423" s="32" t="str">
        <f>IMDIV(IMSUM(COMPLEX(0,2*PI()*O423*Constants!$B$61*Constants!$B$62),COMPLEX(1,0)),IMSUM(COMPLEX(0,2*PI()*O423*Constants!$B$61*Constants!$B$62),COMPLEX(2,0)))</f>
        <v>0.832664847559768+0.235937540416781i</v>
      </c>
      <c r="AD423" s="18">
        <f t="shared" si="395"/>
        <v>0.86544628449121663</v>
      </c>
      <c r="AE423" s="18">
        <f t="shared" si="396"/>
        <v>0.27611462180228463</v>
      </c>
      <c r="AF423" s="66" t="str">
        <f t="shared" si="397"/>
        <v>-0.258114325329148+0.0195848524120014i</v>
      </c>
      <c r="AG423" s="64">
        <f t="shared" si="398"/>
        <v>-11.738826036288025</v>
      </c>
      <c r="AH423" s="61">
        <f t="shared" si="399"/>
        <v>175.66090209712959</v>
      </c>
      <c r="AI423" s="50" t="str">
        <f t="shared" si="379"/>
        <v>107.538871525172</v>
      </c>
      <c r="AJ423" s="50" t="str">
        <f t="shared" si="380"/>
        <v>1+525.305371542631i</v>
      </c>
      <c r="AK423" s="50">
        <f t="shared" si="400"/>
        <v>525.30632336908093</v>
      </c>
      <c r="AL423" s="50">
        <f t="shared" si="401"/>
        <v>1.5688926744695852</v>
      </c>
      <c r="AM423" s="50" t="str">
        <f t="shared" si="381"/>
        <v>1+0.634486487980902i</v>
      </c>
      <c r="AN423" s="50">
        <f t="shared" si="402"/>
        <v>1.1843027921230023</v>
      </c>
      <c r="AO423" s="50">
        <f t="shared" si="403"/>
        <v>0.56539199339485835</v>
      </c>
      <c r="AP423" s="50" t="str">
        <f t="shared" si="382"/>
        <v>1-1.82425862615276i</v>
      </c>
      <c r="AQ423" s="50">
        <f t="shared" si="404"/>
        <v>2.0803652407913269</v>
      </c>
      <c r="AR423" s="50">
        <f t="shared" si="405"/>
        <v>-1.0693608151545184</v>
      </c>
      <c r="AS423" s="59" t="str">
        <f t="shared" si="406"/>
        <v>-0.242724761578203-0.442132047658309i</v>
      </c>
      <c r="AT423" s="50">
        <f t="shared" si="407"/>
        <v>-5.9448962353108019</v>
      </c>
      <c r="AU423" s="61">
        <f t="shared" si="408"/>
        <v>-118.76621524910874</v>
      </c>
      <c r="AV423" s="32" t="str">
        <f t="shared" si="383"/>
        <v>-0.0000333333333333333</v>
      </c>
      <c r="AW423" s="32" t="str">
        <f t="shared" si="384"/>
        <v>0.0338392793589814i</v>
      </c>
      <c r="AX423" s="32">
        <f t="shared" si="409"/>
        <v>3.38392793589814E-2</v>
      </c>
      <c r="AY423" s="32">
        <f t="shared" si="410"/>
        <v>1.5707963267948966</v>
      </c>
      <c r="AZ423" s="32" t="str">
        <f t="shared" si="385"/>
        <v>1+13.8059559884733i</v>
      </c>
      <c r="BA423" s="32">
        <f t="shared" si="411"/>
        <v>13.842124864184031</v>
      </c>
      <c r="BB423" s="32">
        <f t="shared" si="412"/>
        <v>1.4984900944198578</v>
      </c>
      <c r="BC423" s="32" t="str">
        <f t="shared" si="386"/>
        <v>1+662.685887446721i</v>
      </c>
      <c r="BD423" s="32">
        <f t="shared" si="413"/>
        <v>662.68664195156987</v>
      </c>
      <c r="BE423" s="32">
        <f t="shared" si="414"/>
        <v>1.56928731738349</v>
      </c>
      <c r="BF423" s="59" t="str">
        <f t="shared" si="415"/>
        <v>-0.00333592637487126+0.0470407012701716i</v>
      </c>
      <c r="BG423" s="50">
        <f t="shared" si="416"/>
        <v>-26.528738130876029</v>
      </c>
      <c r="BH423" s="61">
        <f t="shared" si="417"/>
        <v>94.056382077062793</v>
      </c>
      <c r="BI423" s="59" t="str">
        <f t="shared" si="418"/>
        <v>-0.0000602348061357518-0.0122072124970695i</v>
      </c>
      <c r="BJ423" s="64">
        <f t="shared" si="419"/>
        <v>-38.267564167164053</v>
      </c>
      <c r="BK423" s="61">
        <f t="shared" si="420"/>
        <v>-90.282715825807585</v>
      </c>
      <c r="BL423" s="59" t="str">
        <f t="shared" si="371"/>
        <v>0.0216079135098469-0.00994302304131468i</v>
      </c>
      <c r="BM423" s="64">
        <f t="shared" si="421"/>
        <v>-32.473634366186815</v>
      </c>
      <c r="BN423" s="61">
        <f t="shared" si="372"/>
        <v>-24.709833172045908</v>
      </c>
      <c r="BO423" s="50">
        <f t="shared" si="422"/>
        <v>-38.267564167164053</v>
      </c>
      <c r="BP423" s="61">
        <f t="shared" si="423"/>
        <v>-90.282715825807585</v>
      </c>
    </row>
    <row r="424" spans="14:68" x14ac:dyDescent="0.25">
      <c r="N424" s="11">
        <v>6</v>
      </c>
      <c r="O424" s="51">
        <f t="shared" si="424"/>
        <v>114815.36214968823</v>
      </c>
      <c r="P424" s="49" t="str">
        <f t="shared" si="374"/>
        <v>37.1583961085025</v>
      </c>
      <c r="Q424" s="18" t="str">
        <f t="shared" si="375"/>
        <v>1+565.445331659098i</v>
      </c>
      <c r="R424" s="18">
        <f t="shared" si="387"/>
        <v>565.44621591718817</v>
      </c>
      <c r="S424" s="18">
        <f t="shared" si="388"/>
        <v>1.5690278110755851</v>
      </c>
      <c r="T424" s="18" t="str">
        <f t="shared" si="376"/>
        <v>1+0.649265576847682i</v>
      </c>
      <c r="U424" s="18">
        <f t="shared" si="389"/>
        <v>1.1922859511372905</v>
      </c>
      <c r="V424" s="18">
        <f t="shared" si="390"/>
        <v>0.57585875687665977</v>
      </c>
      <c r="W424" s="32" t="str">
        <f t="shared" si="377"/>
        <v>1-5.68295245938724i</v>
      </c>
      <c r="X424" s="18">
        <f t="shared" si="391"/>
        <v>5.7702641755517119</v>
      </c>
      <c r="Y424" s="18">
        <f t="shared" si="392"/>
        <v>-1.3966146134825097</v>
      </c>
      <c r="Z424" s="32" t="str">
        <f t="shared" si="378"/>
        <v>0.670435815360899+1.36826708602345i</v>
      </c>
      <c r="AA424" s="18">
        <f t="shared" si="393"/>
        <v>1.5236925546886868</v>
      </c>
      <c r="AB424" s="18">
        <f t="shared" si="394"/>
        <v>1.1151895473239044</v>
      </c>
      <c r="AC424" s="32" t="str">
        <f>IMDIV(IMSUM(COMPLEX(0,2*PI()*O424*Constants!$B$61*Constants!$B$62),COMPLEX(1,0)),IMSUM(COMPLEX(0,2*PI()*O424*Constants!$B$61*Constants!$B$62),COMPLEX(2,0)))</f>
        <v>0.83775229039375+0.234093006154928i</v>
      </c>
      <c r="AD424" s="18">
        <f t="shared" si="395"/>
        <v>0.86984391449881693</v>
      </c>
      <c r="AE424" s="18">
        <f t="shared" si="396"/>
        <v>0.27247993524354669</v>
      </c>
      <c r="AF424" s="66" t="str">
        <f t="shared" si="397"/>
        <v>-0.257033078392395+0.0234290341231635i</v>
      </c>
      <c r="AG424" s="64">
        <f t="shared" si="398"/>
        <v>-11.764284695887671</v>
      </c>
      <c r="AH424" s="61">
        <f t="shared" si="399"/>
        <v>174.79177776524804</v>
      </c>
      <c r="AI424" s="50" t="str">
        <f t="shared" si="379"/>
        <v>107.538871525172</v>
      </c>
      <c r="AJ424" s="50" t="str">
        <f t="shared" si="380"/>
        <v>1+537.541305507011i</v>
      </c>
      <c r="AK424" s="50">
        <f t="shared" si="400"/>
        <v>537.54223566728388</v>
      </c>
      <c r="AL424" s="50">
        <f t="shared" si="401"/>
        <v>1.5689360067857028</v>
      </c>
      <c r="AM424" s="50" t="str">
        <f t="shared" si="381"/>
        <v>1+0.649265576847682i</v>
      </c>
      <c r="AN424" s="50">
        <f t="shared" si="402"/>
        <v>1.1922859511372905</v>
      </c>
      <c r="AO424" s="50">
        <f t="shared" si="403"/>
        <v>0.57585875687665977</v>
      </c>
      <c r="AP424" s="50" t="str">
        <f t="shared" si="382"/>
        <v>1-1.86675106824983i</v>
      </c>
      <c r="AQ424" s="50">
        <f t="shared" si="404"/>
        <v>2.1177250885825294</v>
      </c>
      <c r="AR424" s="50">
        <f t="shared" si="405"/>
        <v>-1.0790059711124962</v>
      </c>
      <c r="AS424" s="59" t="str">
        <f t="shared" si="406"/>
        <v>-0.242742340955409-0.442980984658469i</v>
      </c>
      <c r="AT424" s="50">
        <f t="shared" si="407"/>
        <v>-5.9319422010755947</v>
      </c>
      <c r="AU424" s="61">
        <f t="shared" si="408"/>
        <v>-118.72162336440758</v>
      </c>
      <c r="AV424" s="32" t="str">
        <f t="shared" si="383"/>
        <v>-0.0000333333333333333</v>
      </c>
      <c r="AW424" s="32" t="str">
        <f t="shared" si="384"/>
        <v>0.0346274974318764i</v>
      </c>
      <c r="AX424" s="32">
        <f t="shared" si="409"/>
        <v>3.4627497431876403E-2</v>
      </c>
      <c r="AY424" s="32">
        <f t="shared" si="410"/>
        <v>1.5707963267948966</v>
      </c>
      <c r="AZ424" s="32" t="str">
        <f t="shared" si="385"/>
        <v>1+14.1275380147412i</v>
      </c>
      <c r="BA424" s="32">
        <f t="shared" si="411"/>
        <v>14.162885664932755</v>
      </c>
      <c r="BB424" s="32">
        <f t="shared" si="412"/>
        <v>1.5001304479229574</v>
      </c>
      <c r="BC424" s="32" t="str">
        <f t="shared" si="386"/>
        <v>1+678.12182470758i</v>
      </c>
      <c r="BD424" s="32">
        <f t="shared" si="413"/>
        <v>678.12256203782067</v>
      </c>
      <c r="BE424" s="32">
        <f t="shared" si="414"/>
        <v>1.5693216665809198</v>
      </c>
      <c r="BF424" s="59" t="str">
        <f t="shared" si="415"/>
        <v>-0.00318653346450195+0.0459804987702363i</v>
      </c>
      <c r="BG424" s="50">
        <f t="shared" si="416"/>
        <v>-26.727718308925951</v>
      </c>
      <c r="BH424" s="61">
        <f t="shared" si="417"/>
        <v>93.964364808468076</v>
      </c>
      <c r="BI424" s="59" t="str">
        <f t="shared" si="418"/>
        <v>-0.000258234168906624-0.011893166546206i</v>
      </c>
      <c r="BJ424" s="64">
        <f t="shared" si="419"/>
        <v>-38.492003004813611</v>
      </c>
      <c r="BK424" s="61">
        <f t="shared" si="420"/>
        <v>-91.243857426283853</v>
      </c>
      <c r="BL424" s="59" t="str">
        <f t="shared" si="371"/>
        <v>0.0211419932130328-0.00974984017803223i</v>
      </c>
      <c r="BM424" s="64">
        <f t="shared" si="421"/>
        <v>-32.65966051000153</v>
      </c>
      <c r="BN424" s="61">
        <f t="shared" si="372"/>
        <v>-24.757258555939455</v>
      </c>
      <c r="BO424" s="50">
        <f t="shared" si="422"/>
        <v>-38.492003004813611</v>
      </c>
      <c r="BP424" s="61">
        <f t="shared" si="423"/>
        <v>-91.243857426283853</v>
      </c>
    </row>
    <row r="425" spans="14:68" x14ac:dyDescent="0.25">
      <c r="N425" s="11">
        <v>7</v>
      </c>
      <c r="O425" s="51">
        <f t="shared" si="424"/>
        <v>117489.75549395311</v>
      </c>
      <c r="P425" s="49" t="str">
        <f t="shared" si="374"/>
        <v>37.1583961085025</v>
      </c>
      <c r="Q425" s="18" t="str">
        <f t="shared" si="375"/>
        <v>1+578.616245404623i</v>
      </c>
      <c r="R425" s="18">
        <f t="shared" si="387"/>
        <v>578.61710953457202</v>
      </c>
      <c r="S425" s="18">
        <f t="shared" si="388"/>
        <v>1.5690680673270456</v>
      </c>
      <c r="T425" s="18" t="str">
        <f t="shared" si="376"/>
        <v>1+0.664388914917356i</v>
      </c>
      <c r="U425" s="18">
        <f t="shared" si="389"/>
        <v>1.2005884516623762</v>
      </c>
      <c r="V425" s="18">
        <f t="shared" si="390"/>
        <v>0.58642404030392115</v>
      </c>
      <c r="W425" s="32" t="str">
        <f t="shared" si="377"/>
        <v>1-5.81532542715565i</v>
      </c>
      <c r="X425" s="18">
        <f t="shared" si="391"/>
        <v>5.9006787595769898</v>
      </c>
      <c r="Y425" s="18">
        <f t="shared" si="392"/>
        <v>-1.4005024028837714</v>
      </c>
      <c r="Z425" s="32" t="str">
        <f t="shared" si="378"/>
        <v>0.654903933849279+1.4001381206962i</v>
      </c>
      <c r="AA425" s="18">
        <f t="shared" si="393"/>
        <v>1.5457315160136793</v>
      </c>
      <c r="AB425" s="18">
        <f t="shared" si="394"/>
        <v>1.1332861917456545</v>
      </c>
      <c r="AC425" s="32" t="str">
        <f>IMDIV(IMSUM(COMPLEX(0,2*PI()*O425*Constants!$B$61*Constants!$B$62),COMPLEX(1,0)),IMSUM(COMPLEX(0,2*PI()*O425*Constants!$B$61*Constants!$B$62),COMPLEX(2,0)))</f>
        <v>0.842758170532668+0.232154952132046i</v>
      </c>
      <c r="AD425" s="18">
        <f t="shared" si="395"/>
        <v>0.8741494470621155</v>
      </c>
      <c r="AE425" s="18">
        <f t="shared" si="396"/>
        <v>0.26880350945892045</v>
      </c>
      <c r="AF425" s="66" t="str">
        <f t="shared" si="397"/>
        <v>-0.255839332337771+0.0272304305629613i</v>
      </c>
      <c r="AG425" s="64">
        <f t="shared" si="398"/>
        <v>-11.791731055859763</v>
      </c>
      <c r="AH425" s="61">
        <f t="shared" si="399"/>
        <v>173.92455844748648</v>
      </c>
      <c r="AI425" s="50" t="str">
        <f t="shared" si="379"/>
        <v>107.538871525172</v>
      </c>
      <c r="AJ425" s="50" t="str">
        <f t="shared" si="380"/>
        <v>1+550.062250986773i</v>
      </c>
      <c r="AK425" s="50">
        <f t="shared" si="400"/>
        <v>550.06315997404852</v>
      </c>
      <c r="AL425" s="50">
        <f t="shared" si="401"/>
        <v>1.5689783527446337</v>
      </c>
      <c r="AM425" s="50" t="str">
        <f t="shared" si="381"/>
        <v>1+0.664388914917356i</v>
      </c>
      <c r="AN425" s="50">
        <f t="shared" si="402"/>
        <v>1.2005884516623762</v>
      </c>
      <c r="AO425" s="50">
        <f t="shared" si="403"/>
        <v>0.58642404030392115</v>
      </c>
      <c r="AP425" s="50" t="str">
        <f t="shared" si="382"/>
        <v>1-1.91023328647267i</v>
      </c>
      <c r="AQ425" s="50">
        <f t="shared" si="404"/>
        <v>2.156151944726572</v>
      </c>
      <c r="AR425" s="50">
        <f t="shared" si="405"/>
        <v>-1.0885288730278686</v>
      </c>
      <c r="AS425" s="59" t="str">
        <f t="shared" si="406"/>
        <v>-0.242759129135661-0.44406479309569i</v>
      </c>
      <c r="AT425" s="50">
        <f t="shared" si="407"/>
        <v>-5.9154712101021456</v>
      </c>
      <c r="AU425" s="61">
        <f t="shared" si="408"/>
        <v>-118.66432554786003</v>
      </c>
      <c r="AV425" s="32" t="str">
        <f t="shared" si="383"/>
        <v>-0.0000333333333333333</v>
      </c>
      <c r="AW425" s="32" t="str">
        <f t="shared" si="384"/>
        <v>0.035434075462259i</v>
      </c>
      <c r="AX425" s="32">
        <f t="shared" si="409"/>
        <v>3.5434075462258997E-2</v>
      </c>
      <c r="AY425" s="32">
        <f t="shared" si="410"/>
        <v>1.5707963267948966</v>
      </c>
      <c r="AZ425" s="32" t="str">
        <f t="shared" si="385"/>
        <v>1+14.4566106486647i</v>
      </c>
      <c r="BA425" s="32">
        <f t="shared" si="411"/>
        <v>14.491155628419897</v>
      </c>
      <c r="BB425" s="32">
        <f t="shared" si="412"/>
        <v>1.5017338305870624</v>
      </c>
      <c r="BC425" s="32" t="str">
        <f t="shared" si="386"/>
        <v>1+693.917311135906i</v>
      </c>
      <c r="BD425" s="32">
        <f t="shared" si="413"/>
        <v>693.91803168247895</v>
      </c>
      <c r="BE425" s="32">
        <f t="shared" si="414"/>
        <v>1.5693552338985206</v>
      </c>
      <c r="BF425" s="59" t="str">
        <f t="shared" si="415"/>
        <v>-0.00304379879564944+0.0449437281512553i</v>
      </c>
      <c r="BG425" s="50">
        <f t="shared" si="416"/>
        <v>-26.926744162725925</v>
      </c>
      <c r="BH425" s="61">
        <f t="shared" si="417"/>
        <v>93.874421014498509</v>
      </c>
      <c r="BI425" s="59" t="str">
        <f t="shared" si="418"/>
        <v>-0.000445113617013902-0.01158125735474i</v>
      </c>
      <c r="BJ425" s="64">
        <f t="shared" si="419"/>
        <v>-38.718475218585688</v>
      </c>
      <c r="BK425" s="61">
        <f t="shared" si="420"/>
        <v>-92.20102053801503</v>
      </c>
      <c r="BL425" s="59" t="str">
        <f t="shared" si="371"/>
        <v>0.0206968372873322-0.00955885642369365i</v>
      </c>
      <c r="BM425" s="64">
        <f t="shared" si="421"/>
        <v>-32.842215372828051</v>
      </c>
      <c r="BN425" s="61">
        <f t="shared" si="372"/>
        <v>-24.789904533361462</v>
      </c>
      <c r="BO425" s="50">
        <f t="shared" si="422"/>
        <v>-38.718475218585688</v>
      </c>
      <c r="BP425" s="61">
        <f t="shared" si="423"/>
        <v>-92.20102053801503</v>
      </c>
    </row>
    <row r="426" spans="14:68" x14ac:dyDescent="0.25">
      <c r="N426" s="11">
        <v>8</v>
      </c>
      <c r="O426" s="51">
        <f t="shared" si="424"/>
        <v>120226.44346174144</v>
      </c>
      <c r="P426" s="49" t="str">
        <f t="shared" si="374"/>
        <v>37.1583961085025</v>
      </c>
      <c r="Q426" s="18" t="str">
        <f t="shared" si="375"/>
        <v>1+592.093949142352i</v>
      </c>
      <c r="R426" s="18">
        <f t="shared" si="387"/>
        <v>592.09479360233036</v>
      </c>
      <c r="S426" s="18">
        <f t="shared" si="388"/>
        <v>1.5691074072397619</v>
      </c>
      <c r="T426" s="18" t="str">
        <f t="shared" si="376"/>
        <v>1+0.679864520783944i</v>
      </c>
      <c r="U426" s="18">
        <f t="shared" si="389"/>
        <v>1.2092211404953115</v>
      </c>
      <c r="V426" s="18">
        <f t="shared" si="390"/>
        <v>0.59708401056060523</v>
      </c>
      <c r="W426" s="32" t="str">
        <f t="shared" si="377"/>
        <v>1-5.95078175744046i</v>
      </c>
      <c r="X426" s="18">
        <f t="shared" si="391"/>
        <v>6.0342193798938206</v>
      </c>
      <c r="Y426" s="18">
        <f t="shared" si="392"/>
        <v>-1.404306725037092</v>
      </c>
      <c r="Z426" s="32" t="str">
        <f t="shared" si="378"/>
        <v>0.638640057313518+1.43275152713357i</v>
      </c>
      <c r="AA426" s="18">
        <f t="shared" si="393"/>
        <v>1.5686421074639652</v>
      </c>
      <c r="AB426" s="18">
        <f t="shared" si="394"/>
        <v>1.1514875225326353</v>
      </c>
      <c r="AC426" s="32" t="str">
        <f>IMDIV(IMSUM(COMPLEX(0,2*PI()*O426*Constants!$B$61*Constants!$B$62),COMPLEX(1,0)),IMSUM(COMPLEX(0,2*PI()*O426*Constants!$B$61*Constants!$B$62),COMPLEX(2,0)))</f>
        <v>0.847679256180841+0.230127710004592i</v>
      </c>
      <c r="AD426" s="18">
        <f t="shared" si="395"/>
        <v>0.87836147699637945</v>
      </c>
      <c r="AE426" s="18">
        <f t="shared" si="396"/>
        <v>0.2650904793308424</v>
      </c>
      <c r="AF426" s="66" t="str">
        <f t="shared" si="397"/>
        <v>-0.25453517516848+0.0309846945477387i</v>
      </c>
      <c r="AG426" s="64">
        <f t="shared" si="398"/>
        <v>-11.821160882132023</v>
      </c>
      <c r="AH426" s="61">
        <f t="shared" si="399"/>
        <v>173.05950374751163</v>
      </c>
      <c r="AI426" s="50" t="str">
        <f t="shared" si="379"/>
        <v>107.538871525172</v>
      </c>
      <c r="AJ426" s="50" t="str">
        <f t="shared" si="380"/>
        <v>1+562.874846752942i</v>
      </c>
      <c r="AK426" s="50">
        <f t="shared" si="400"/>
        <v>562.87573504917395</v>
      </c>
      <c r="AL426" s="50">
        <f t="shared" si="401"/>
        <v>1.569019734798158</v>
      </c>
      <c r="AM426" s="50" t="str">
        <f t="shared" si="381"/>
        <v>1+0.679864520783944i</v>
      </c>
      <c r="AN426" s="50">
        <f t="shared" si="402"/>
        <v>1.2092211404953115</v>
      </c>
      <c r="AO426" s="50">
        <f t="shared" si="403"/>
        <v>0.59708401056060523</v>
      </c>
      <c r="AP426" s="50" t="str">
        <f t="shared" si="382"/>
        <v>1-1.95472833566892i</v>
      </c>
      <c r="AQ426" s="50">
        <f t="shared" si="404"/>
        <v>2.1956691158430464</v>
      </c>
      <c r="AR426" s="50">
        <f t="shared" si="405"/>
        <v>-1.0979276605088806</v>
      </c>
      <c r="AS426" s="59" t="str">
        <f t="shared" si="406"/>
        <v>-0.242775161728215-0.445384047816082i</v>
      </c>
      <c r="AT426" s="50">
        <f t="shared" si="407"/>
        <v>-5.8954885577669849</v>
      </c>
      <c r="AU426" s="61">
        <f t="shared" si="408"/>
        <v>-118.59443611463389</v>
      </c>
      <c r="AV426" s="32" t="str">
        <f t="shared" si="383"/>
        <v>-0.0000333333333333333</v>
      </c>
      <c r="AW426" s="32" t="str">
        <f t="shared" si="384"/>
        <v>0.036259441108477i</v>
      </c>
      <c r="AX426" s="32">
        <f t="shared" si="409"/>
        <v>3.6259441108477002E-2</v>
      </c>
      <c r="AY426" s="32">
        <f t="shared" si="410"/>
        <v>1.5707963267948966</v>
      </c>
      <c r="AZ426" s="32" t="str">
        <f t="shared" si="385"/>
        <v>1+14.7933483689099i</v>
      </c>
      <c r="BA426" s="32">
        <f t="shared" si="411"/>
        <v>14.827108820128393</v>
      </c>
      <c r="BB426" s="32">
        <f t="shared" si="412"/>
        <v>1.5033010595520924</v>
      </c>
      <c r="BC426" s="32" t="str">
        <f t="shared" si="386"/>
        <v>1+710.080721707676i</v>
      </c>
      <c r="BD426" s="32">
        <f t="shared" si="413"/>
        <v>710.08142585262294</v>
      </c>
      <c r="BE426" s="32">
        <f t="shared" si="414"/>
        <v>1.5693880371338258</v>
      </c>
      <c r="BF426" s="59" t="str">
        <f t="shared" si="415"/>
        <v>-0.00290742842522518+0.0439299023551923i</v>
      </c>
      <c r="BG426" s="50">
        <f t="shared" si="416"/>
        <v>-27.125813656128681</v>
      </c>
      <c r="BH426" s="61">
        <f t="shared" si="417"/>
        <v>93.786504896208982</v>
      </c>
      <c r="BI426" s="59" t="str">
        <f t="shared" si="418"/>
        <v>-0.000621111802483111-0.0112717911727881i</v>
      </c>
      <c r="BJ426" s="64">
        <f t="shared" si="419"/>
        <v>-38.946974538260712</v>
      </c>
      <c r="BK426" s="61">
        <f t="shared" si="420"/>
        <v>-93.153991356279377</v>
      </c>
      <c r="BL426" s="59" t="str">
        <f t="shared" si="371"/>
        <v>0.020271529137268-0.00937016690822418i</v>
      </c>
      <c r="BM426" s="64">
        <f t="shared" si="421"/>
        <v>-33.021302213895673</v>
      </c>
      <c r="BN426" s="61">
        <f t="shared" si="372"/>
        <v>-24.807931218424955</v>
      </c>
      <c r="BO426" s="50">
        <f t="shared" si="422"/>
        <v>-38.946974538260712</v>
      </c>
      <c r="BP426" s="61">
        <f t="shared" si="423"/>
        <v>-93.153991356279377</v>
      </c>
    </row>
    <row r="427" spans="14:68" x14ac:dyDescent="0.25">
      <c r="N427" s="11">
        <v>9</v>
      </c>
      <c r="O427" s="51">
        <f t="shared" si="424"/>
        <v>123026.87708123829</v>
      </c>
      <c r="P427" s="49" t="str">
        <f t="shared" si="374"/>
        <v>37.1583961085025</v>
      </c>
      <c r="Q427" s="18" t="str">
        <f t="shared" si="375"/>
        <v>1+605.885588929205i</v>
      </c>
      <c r="R427" s="18">
        <f t="shared" si="387"/>
        <v>605.88641416695395</v>
      </c>
      <c r="S427" s="18">
        <f t="shared" si="388"/>
        <v>1.5691458516717889</v>
      </c>
      <c r="T427" s="18" t="str">
        <f t="shared" si="376"/>
        <v>1+0.695700599818523i</v>
      </c>
      <c r="U427" s="18">
        <f t="shared" si="389"/>
        <v>1.2181951094089374</v>
      </c>
      <c r="V427" s="18">
        <f t="shared" si="390"/>
        <v>0.60783462888141226</v>
      </c>
      <c r="W427" s="32" t="str">
        <f t="shared" si="377"/>
        <v>1-6.08939327098097i</v>
      </c>
      <c r="X427" s="18">
        <f t="shared" si="391"/>
        <v>6.1709570091411523</v>
      </c>
      <c r="Y427" s="18">
        <f t="shared" si="392"/>
        <v>-1.4080291563476912</v>
      </c>
      <c r="Z427" s="32" t="str">
        <f t="shared" si="378"/>
        <v>0.621609687890948+1.46612459739533i</v>
      </c>
      <c r="AA427" s="18">
        <f t="shared" si="393"/>
        <v>1.5924572016752916</v>
      </c>
      <c r="AB427" s="18">
        <f t="shared" si="394"/>
        <v>1.1697886846774912</v>
      </c>
      <c r="AC427" s="32" t="str">
        <f>IMDIV(IMSUM(COMPLEX(0,2*PI()*O427*Constants!$B$61*Constants!$B$62),COMPLEX(1,0)),IMSUM(COMPLEX(0,2*PI()*O427*Constants!$B$61*Constants!$B$62),COMPLEX(2,0)))</f>
        <v>0.852512600706801+0.228015715897672i</v>
      </c>
      <c r="AD427" s="18">
        <f t="shared" si="395"/>
        <v>0.88247883887388556</v>
      </c>
      <c r="AE427" s="18">
        <f t="shared" si="396"/>
        <v>0.26134586023164474</v>
      </c>
      <c r="AF427" s="66" t="str">
        <f t="shared" si="397"/>
        <v>-0.25312294725102+0.0346876798692071i</v>
      </c>
      <c r="AG427" s="64">
        <f t="shared" si="398"/>
        <v>-11.852567019269761</v>
      </c>
      <c r="AH427" s="61">
        <f t="shared" si="399"/>
        <v>172.19685627577149</v>
      </c>
      <c r="AI427" s="50" t="str">
        <f t="shared" si="379"/>
        <v>107.538871525172</v>
      </c>
      <c r="AJ427" s="50" t="str">
        <f t="shared" si="380"/>
        <v>1+575.985886213389i</v>
      </c>
      <c r="AK427" s="50">
        <f t="shared" si="400"/>
        <v>575.98675428956096</v>
      </c>
      <c r="AL427" s="50">
        <f t="shared" si="401"/>
        <v>1.5690601748870212</v>
      </c>
      <c r="AM427" s="50" t="str">
        <f t="shared" si="381"/>
        <v>1+0.695700599818523i</v>
      </c>
      <c r="AN427" s="50">
        <f t="shared" si="402"/>
        <v>1.2181951094089374</v>
      </c>
      <c r="AO427" s="50">
        <f t="shared" si="403"/>
        <v>0.60783462888141226</v>
      </c>
      <c r="AP427" s="50" t="str">
        <f t="shared" si="382"/>
        <v>1-2.00025980770263i</v>
      </c>
      <c r="AQ427" s="50">
        <f t="shared" si="404"/>
        <v>2.2363003595918332</v>
      </c>
      <c r="AR427" s="50">
        <f t="shared" si="405"/>
        <v>-1.1072006739351274</v>
      </c>
      <c r="AS427" s="59" t="str">
        <f t="shared" si="406"/>
        <v>-0.242790472739693-0.446939448489381i</v>
      </c>
      <c r="AT427" s="50">
        <f t="shared" si="407"/>
        <v>-5.87200072315746</v>
      </c>
      <c r="AU427" s="61">
        <f t="shared" si="408"/>
        <v>-118.51209263680281</v>
      </c>
      <c r="AV427" s="32" t="str">
        <f t="shared" si="383"/>
        <v>-0.0000333333333333333</v>
      </c>
      <c r="AW427" s="32" t="str">
        <f t="shared" si="384"/>
        <v>0.0371040319903212i</v>
      </c>
      <c r="AX427" s="32">
        <f t="shared" si="409"/>
        <v>3.7104031990321203E-2</v>
      </c>
      <c r="AY427" s="32">
        <f t="shared" si="410"/>
        <v>1.5707963267948966</v>
      </c>
      <c r="AZ427" s="32" t="str">
        <f t="shared" si="385"/>
        <v>1+15.1379297182734i</v>
      </c>
      <c r="BA427" s="32">
        <f t="shared" si="411"/>
        <v>15.170923378469254</v>
      </c>
      <c r="BB427" s="32">
        <f t="shared" si="412"/>
        <v>1.5048329349707708</v>
      </c>
      <c r="BC427" s="32" t="str">
        <f t="shared" si="386"/>
        <v>1+726.620626477125i</v>
      </c>
      <c r="BD427" s="32">
        <f t="shared" si="413"/>
        <v>726.62131459379145</v>
      </c>
      <c r="BE427" s="32">
        <f t="shared" si="414"/>
        <v>1.5694200936792624</v>
      </c>
      <c r="BF427" s="59" t="str">
        <f t="shared" si="415"/>
        <v>-0.00277714114099972+0.0429385423722866i</v>
      </c>
      <c r="BG427" s="50">
        <f t="shared" si="416"/>
        <v>-27.324924842915991</v>
      </c>
      <c r="BH427" s="61">
        <f t="shared" si="417"/>
        <v>93.700571604738187</v>
      </c>
      <c r="BI427" s="59" t="str">
        <f t="shared" si="418"/>
        <v>-0.000786480261318352-0.0109650629787866i</v>
      </c>
      <c r="BJ427" s="64">
        <f t="shared" si="419"/>
        <v>-39.177491862185747</v>
      </c>
      <c r="BK427" s="61">
        <f t="shared" si="420"/>
        <v>-94.102572119490304</v>
      </c>
      <c r="BL427" s="59" t="str">
        <f t="shared" si="371"/>
        <v>0.0198651918572959-0.00918385507138522i</v>
      </c>
      <c r="BM427" s="64">
        <f t="shared" si="421"/>
        <v>-33.196925566073439</v>
      </c>
      <c r="BN427" s="61">
        <f t="shared" si="372"/>
        <v>-24.811521032064583</v>
      </c>
      <c r="BO427" s="50">
        <f t="shared" si="422"/>
        <v>-39.177491862185747</v>
      </c>
      <c r="BP427" s="61">
        <f t="shared" si="423"/>
        <v>-94.102572119490304</v>
      </c>
    </row>
    <row r="428" spans="14:68" x14ac:dyDescent="0.25">
      <c r="N428" s="11">
        <v>10</v>
      </c>
      <c r="O428" s="51">
        <f t="shared" si="424"/>
        <v>125892.54117941685</v>
      </c>
      <c r="P428" s="49" t="str">
        <f t="shared" si="374"/>
        <v>37.1583961085025</v>
      </c>
      <c r="Q428" s="18" t="str">
        <f t="shared" si="375"/>
        <v>1+619.998477275154i</v>
      </c>
      <c r="R428" s="18">
        <f t="shared" si="387"/>
        <v>619.99928372822308</v>
      </c>
      <c r="S428" s="18">
        <f t="shared" si="388"/>
        <v>1.5691834210064184</v>
      </c>
      <c r="T428" s="18" t="str">
        <f t="shared" si="376"/>
        <v>1+0.711905548519812i</v>
      </c>
      <c r="U428" s="18">
        <f t="shared" si="389"/>
        <v>1.2275216943147256</v>
      </c>
      <c r="V428" s="18">
        <f t="shared" si="390"/>
        <v>0.61867165533156632</v>
      </c>
      <c r="W428" s="32" t="str">
        <f t="shared" si="377"/>
        <v>1-6.23123346143641i</v>
      </c>
      <c r="X428" s="18">
        <f t="shared" si="391"/>
        <v>6.3109643043614803</v>
      </c>
      <c r="Y428" s="18">
        <f t="shared" si="392"/>
        <v>-1.4116712576506711</v>
      </c>
      <c r="Z428" s="32" t="str">
        <f t="shared" si="378"/>
        <v>0.603776701884721+1.50027502632508i</v>
      </c>
      <c r="AA428" s="18">
        <f t="shared" si="393"/>
        <v>1.6172110129335351</v>
      </c>
      <c r="AB428" s="18">
        <f t="shared" si="394"/>
        <v>1.188184819342226</v>
      </c>
      <c r="AC428" s="32" t="str">
        <f>IMDIV(IMSUM(COMPLEX(0,2*PI()*O428*Constants!$B$61*Constants!$B$62),COMPLEX(1,0)),IMSUM(COMPLEX(0,2*PI()*O428*Constants!$B$61*Constants!$B$62),COMPLEX(2,0)))</f>
        <v>0.857255544200863+0.225823489119659i</v>
      </c>
      <c r="AD428" s="18">
        <f t="shared" si="395"/>
        <v>0.88650060141056564</v>
      </c>
      <c r="AE428" s="18">
        <f t="shared" si="396"/>
        <v>0.25757453767325489</v>
      </c>
      <c r="AF428" s="66" t="str">
        <f t="shared" si="397"/>
        <v>-0.25160521801642+0.0383354561756288i</v>
      </c>
      <c r="AG428" s="64">
        <f t="shared" si="398"/>
        <v>-11.88593966656703</v>
      </c>
      <c r="AH428" s="61">
        <f t="shared" si="399"/>
        <v>171.33684081488181</v>
      </c>
      <c r="AI428" s="50" t="str">
        <f t="shared" si="379"/>
        <v>107.538871525172</v>
      </c>
      <c r="AJ428" s="50" t="str">
        <f t="shared" si="380"/>
        <v>1+589.402321014781i</v>
      </c>
      <c r="AK428" s="50">
        <f t="shared" si="400"/>
        <v>589.40316933115571</v>
      </c>
      <c r="AL428" s="50">
        <f t="shared" si="401"/>
        <v>1.5690996944525644</v>
      </c>
      <c r="AM428" s="50" t="str">
        <f t="shared" si="381"/>
        <v>1+0.711905548519812i</v>
      </c>
      <c r="AN428" s="50">
        <f t="shared" si="402"/>
        <v>1.2275216943147256</v>
      </c>
      <c r="AO428" s="50">
        <f t="shared" si="403"/>
        <v>0.61867165533156632</v>
      </c>
      <c r="AP428" s="50" t="str">
        <f t="shared" si="382"/>
        <v>1-2.04685184396295i</v>
      </c>
      <c r="AQ428" s="50">
        <f t="shared" si="404"/>
        <v>2.2780699004057201</v>
      </c>
      <c r="AR428" s="50">
        <f t="shared" si="405"/>
        <v>-1.1163464500594034</v>
      </c>
      <c r="AS428" s="59" t="str">
        <f t="shared" si="406"/>
        <v>-0.242805094646199-0.448731819980788i</v>
      </c>
      <c r="AT428" s="50">
        <f t="shared" si="407"/>
        <v>-5.8450153969280185</v>
      </c>
      <c r="AU428" s="61">
        <f t="shared" si="408"/>
        <v>-118.41745543534364</v>
      </c>
      <c r="AV428" s="32" t="str">
        <f t="shared" si="383"/>
        <v>-0.0000333333333333333</v>
      </c>
      <c r="AW428" s="32" t="str">
        <f t="shared" si="384"/>
        <v>0.0379682959210566i</v>
      </c>
      <c r="AX428" s="32">
        <f t="shared" si="409"/>
        <v>3.7968295921056598E-2</v>
      </c>
      <c r="AY428" s="32">
        <f t="shared" si="410"/>
        <v>1.5707963267948966</v>
      </c>
      <c r="AZ428" s="32" t="str">
        <f t="shared" si="385"/>
        <v>1+15.4905373983478i</v>
      </c>
      <c r="BA428" s="32">
        <f t="shared" si="411"/>
        <v>15.522781609286781</v>
      </c>
      <c r="BB428" s="32">
        <f t="shared" si="412"/>
        <v>1.5063302402894287</v>
      </c>
      <c r="BC428" s="32" t="str">
        <f t="shared" si="386"/>
        <v>1+743.545795120694i</v>
      </c>
      <c r="BD428" s="32">
        <f t="shared" si="413"/>
        <v>743.5464675739272</v>
      </c>
      <c r="BE428" s="32">
        <f t="shared" si="414"/>
        <v>1.5694514205313714</v>
      </c>
      <c r="BF428" s="59" t="str">
        <f t="shared" si="415"/>
        <v>-0.0026526679318435+0.0419691772549656i</v>
      </c>
      <c r="BG428" s="50">
        <f t="shared" si="416"/>
        <v>-27.524075862900162</v>
      </c>
      <c r="BH428" s="61">
        <f t="shared" si="417"/>
        <v>93.616577225747875</v>
      </c>
      <c r="BI428" s="59" t="str">
        <f t="shared" si="418"/>
        <v>-0.000941482462068281-0.0106613552284551i</v>
      </c>
      <c r="BJ428" s="64">
        <f t="shared" si="419"/>
        <v>-39.410015529467174</v>
      </c>
      <c r="BK428" s="61">
        <f t="shared" si="420"/>
        <v>-95.0465819593703</v>
      </c>
      <c r="BL428" s="59" t="str">
        <f t="shared" si="371"/>
        <v>0.0194769865809732-0.00899999354675422i</v>
      </c>
      <c r="BM428" s="64">
        <f t="shared" si="421"/>
        <v>-33.369091259828181</v>
      </c>
      <c r="BN428" s="61">
        <f t="shared" si="372"/>
        <v>-24.800878209595751</v>
      </c>
      <c r="BO428" s="50">
        <f t="shared" si="422"/>
        <v>-39.410015529467174</v>
      </c>
      <c r="BP428" s="61">
        <f t="shared" si="423"/>
        <v>-95.0465819593703</v>
      </c>
    </row>
    <row r="429" spans="14:68" x14ac:dyDescent="0.25">
      <c r="N429" s="11">
        <v>11</v>
      </c>
      <c r="O429" s="51">
        <f t="shared" si="424"/>
        <v>128824.95516931375</v>
      </c>
      <c r="P429" s="49" t="str">
        <f t="shared" si="374"/>
        <v>37.1583961085025</v>
      </c>
      <c r="Q429" s="18" t="str">
        <f t="shared" si="375"/>
        <v>1+634.440097020404i</v>
      </c>
      <c r="R429" s="18">
        <f t="shared" si="387"/>
        <v>634.44088511638301</v>
      </c>
      <c r="S429" s="18">
        <f t="shared" si="388"/>
        <v>1.5692201351629844</v>
      </c>
      <c r="T429" s="18" t="str">
        <f t="shared" si="376"/>
        <v>1+0.728487958966112i</v>
      </c>
      <c r="U429" s="18">
        <f t="shared" si="389"/>
        <v>1.2372124742171862</v>
      </c>
      <c r="V429" s="18">
        <f t="shared" si="390"/>
        <v>0.6295906542746903</v>
      </c>
      <c r="W429" s="32" t="str">
        <f t="shared" si="377"/>
        <v>1-6.37637753435324i</v>
      </c>
      <c r="X429" s="18">
        <f t="shared" si="391"/>
        <v>6.4543156461862559</v>
      </c>
      <c r="Y429" s="18">
        <f t="shared" si="392"/>
        <v>-1.4152345733430327</v>
      </c>
      <c r="Z429" s="32" t="str">
        <f t="shared" si="378"/>
        <v>0.585103273140609+1.53522092093228i</v>
      </c>
      <c r="AA429" s="18">
        <f t="shared" si="393"/>
        <v>1.6429391699962637</v>
      </c>
      <c r="AB429" s="18">
        <f t="shared" si="394"/>
        <v>1.2066710728759633</v>
      </c>
      <c r="AC429" s="32" t="str">
        <f>IMDIV(IMSUM(COMPLEX(0,2*PI()*O429*Constants!$B$61*Constants!$B$62),COMPLEX(1,0)),IMSUM(COMPLEX(0,2*PI()*O429*Constants!$B$61*Constants!$B$62),COMPLEX(2,0)))</f>
        <v>0.861905713282008+0.223555611280158i</v>
      </c>
      <c r="AD429" s="18">
        <f t="shared" si="395"/>
        <v>0.89042606089613752</v>
      </c>
      <c r="AE429" s="18">
        <f t="shared" si="396"/>
        <v>0.25378125811182106</v>
      </c>
      <c r="AF429" s="66" t="str">
        <f t="shared" si="397"/>
        <v>-0.249984761823744+0.0419243211227217i</v>
      </c>
      <c r="AG429" s="64">
        <f t="shared" si="398"/>
        <v>-11.9212666625645</v>
      </c>
      <c r="AH429" s="61">
        <f t="shared" si="399"/>
        <v>170.47966363849054</v>
      </c>
      <c r="AI429" s="50" t="str">
        <f t="shared" si="379"/>
        <v>107.538871525172</v>
      </c>
      <c r="AJ429" s="50" t="str">
        <f t="shared" si="380"/>
        <v>1+603.131264728438i</v>
      </c>
      <c r="AK429" s="50">
        <f t="shared" si="400"/>
        <v>603.1320937348014</v>
      </c>
      <c r="AL429" s="50">
        <f t="shared" si="401"/>
        <v>1.5691383144480899</v>
      </c>
      <c r="AM429" s="50" t="str">
        <f t="shared" si="381"/>
        <v>1+0.728487958966112i</v>
      </c>
      <c r="AN429" s="50">
        <f t="shared" si="402"/>
        <v>1.2372124742171862</v>
      </c>
      <c r="AO429" s="50">
        <f t="shared" si="403"/>
        <v>0.6295906542746903</v>
      </c>
      <c r="AP429" s="50" t="str">
        <f t="shared" si="382"/>
        <v>1-2.09452914816423i</v>
      </c>
      <c r="AQ429" s="50">
        <f t="shared" si="404"/>
        <v>2.3210024456061169</v>
      </c>
      <c r="AR429" s="50">
        <f t="shared" si="405"/>
        <v>-1.1253637171343123</v>
      </c>
      <c r="AS429" s="59" t="str">
        <f t="shared" si="406"/>
        <v>-0.242819058462209-0.450762112789139i</v>
      </c>
      <c r="AT429" s="50">
        <f t="shared" si="407"/>
        <v>-5.8145415127292255</v>
      </c>
      <c r="AU429" s="61">
        <f t="shared" si="408"/>
        <v>-118.31070698827787</v>
      </c>
      <c r="AV429" s="32" t="str">
        <f t="shared" si="383"/>
        <v>-0.0000333333333333333</v>
      </c>
      <c r="AW429" s="32" t="str">
        <f t="shared" si="384"/>
        <v>0.0388526911448593i</v>
      </c>
      <c r="AX429" s="32">
        <f t="shared" si="409"/>
        <v>3.88526911448593E-2</v>
      </c>
      <c r="AY429" s="32">
        <f t="shared" si="410"/>
        <v>1.5707963267948966</v>
      </c>
      <c r="AZ429" s="32" t="str">
        <f t="shared" si="385"/>
        <v>1+15.8513583663922i</v>
      </c>
      <c r="BA429" s="32">
        <f t="shared" si="411"/>
        <v>15.882870082569836</v>
      </c>
      <c r="BB429" s="32">
        <f t="shared" si="412"/>
        <v>1.5077937425292891</v>
      </c>
      <c r="BC429" s="32" t="str">
        <f t="shared" si="386"/>
        <v>1+760.865201586829i</v>
      </c>
      <c r="BD429" s="32">
        <f t="shared" si="413"/>
        <v>760.86585873317108</v>
      </c>
      <c r="BE429" s="32">
        <f t="shared" si="414"/>
        <v>1.5694820342998186</v>
      </c>
      <c r="BF429" s="59" t="str">
        <f t="shared" si="415"/>
        <v>-0.00253375147809213+0.041021344118894i</v>
      </c>
      <c r="BG429" s="50">
        <f t="shared" si="416"/>
        <v>-27.72326493818823</v>
      </c>
      <c r="BH429" s="61">
        <f t="shared" si="417"/>
        <v>93.534478763822932</v>
      </c>
      <c r="BI429" s="59" t="str">
        <f t="shared" si="418"/>
        <v>-0.00108639274395476-0.0103609367498643i</v>
      </c>
      <c r="BJ429" s="64">
        <f t="shared" si="419"/>
        <v>-39.6445316007527</v>
      </c>
      <c r="BK429" s="61">
        <f t="shared" si="420"/>
        <v>-95.985857597686461</v>
      </c>
      <c r="BL429" s="59" t="str">
        <f t="shared" si="371"/>
        <v>0.0191061108927705-0.0088186449862567i</v>
      </c>
      <c r="BM429" s="64">
        <f t="shared" si="421"/>
        <v>-33.537806450917472</v>
      </c>
      <c r="BN429" s="61">
        <f t="shared" si="372"/>
        <v>-24.776228224454965</v>
      </c>
      <c r="BO429" s="50">
        <f t="shared" si="422"/>
        <v>-39.6445316007527</v>
      </c>
      <c r="BP429" s="61">
        <f t="shared" si="423"/>
        <v>-95.985857597686461</v>
      </c>
    </row>
    <row r="430" spans="14:68" x14ac:dyDescent="0.25">
      <c r="N430" s="11">
        <v>12</v>
      </c>
      <c r="O430" s="51">
        <f t="shared" si="424"/>
        <v>131825.67385564081</v>
      </c>
      <c r="P430" s="49" t="str">
        <f t="shared" si="374"/>
        <v>37.1583961085025</v>
      </c>
      <c r="Q430" s="18" t="str">
        <f t="shared" si="375"/>
        <v>1+649.2181053029i</v>
      </c>
      <c r="R430" s="18">
        <f t="shared" si="387"/>
        <v>649.21887545964603</v>
      </c>
      <c r="S430" s="18">
        <f t="shared" si="388"/>
        <v>1.5692560136074225</v>
      </c>
      <c r="T430" s="18" t="str">
        <f t="shared" si="376"/>
        <v>1+0.74545662337093i</v>
      </c>
      <c r="U430" s="18">
        <f t="shared" si="389"/>
        <v>1.2472792699823037</v>
      </c>
      <c r="V430" s="18">
        <f t="shared" si="390"/>
        <v>0.64058700083441333</v>
      </c>
      <c r="W430" s="32" t="str">
        <f t="shared" si="377"/>
        <v>1-6.52490244704008i</v>
      </c>
      <c r="X430" s="18">
        <f t="shared" si="391"/>
        <v>6.6010871788963383</v>
      </c>
      <c r="Y430" s="18">
        <f t="shared" si="392"/>
        <v>-1.418720630603387</v>
      </c>
      <c r="Z430" s="32" t="str">
        <f t="shared" si="378"/>
        <v>0.565549792812657+1.57098080999281i</v>
      </c>
      <c r="AA430" s="18">
        <f t="shared" si="393"/>
        <v>1.6696787935157182</v>
      </c>
      <c r="AB430" s="18">
        <f t="shared" si="394"/>
        <v>1.2252426051246483</v>
      </c>
      <c r="AC430" s="32" t="str">
        <f>IMDIV(IMSUM(COMPLEX(0,2*PI()*O430*Constants!$B$61*Constants!$B$62),COMPLEX(1,0)),IMSUM(COMPLEX(0,2*PI()*O430*Constants!$B$61*Constants!$B$62),COMPLEX(2,0)))</f>
        <v>0.86646101924379+0.221216705962044i</v>
      </c>
      <c r="AD430" s="18">
        <f t="shared" si="395"/>
        <v>0.89425473376755726</v>
      </c>
      <c r="AE430" s="18">
        <f t="shared" si="396"/>
        <v>0.2499706208945851</v>
      </c>
      <c r="AF430" s="66" t="str">
        <f t="shared" si="397"/>
        <v>-0.248264533319882+0.0454508097686942i</v>
      </c>
      <c r="AG430" s="64">
        <f t="shared" si="398"/>
        <v>-11.958533775722103</v>
      </c>
      <c r="AH430" s="61">
        <f t="shared" si="399"/>
        <v>169.62551198808114</v>
      </c>
      <c r="AI430" s="50" t="str">
        <f t="shared" si="379"/>
        <v>107.538871525172</v>
      </c>
      <c r="AJ430" s="50" t="str">
        <f t="shared" si="380"/>
        <v>1+617.179996622037i</v>
      </c>
      <c r="AK430" s="50">
        <f t="shared" si="400"/>
        <v>617.18080675793681</v>
      </c>
      <c r="AL430" s="50">
        <f t="shared" si="401"/>
        <v>1.5691760553499698</v>
      </c>
      <c r="AM430" s="50" t="str">
        <f t="shared" si="381"/>
        <v>1+0.74545662337093i</v>
      </c>
      <c r="AN430" s="50">
        <f t="shared" si="402"/>
        <v>1.2472792699823037</v>
      </c>
      <c r="AO430" s="50">
        <f t="shared" si="403"/>
        <v>0.64058700083441333</v>
      </c>
      <c r="AP430" s="50" t="str">
        <f t="shared" si="382"/>
        <v>1-2.14331699944422i</v>
      </c>
      <c r="AQ430" s="50">
        <f t="shared" si="404"/>
        <v>2.3651232018874988</v>
      </c>
      <c r="AR430" s="50">
        <f t="shared" si="405"/>
        <v>-1.1342513896185844</v>
      </c>
      <c r="AS430" s="59" t="str">
        <f t="shared" si="406"/>
        <v>-0.242832393806347-0.453031403551644i</v>
      </c>
      <c r="AT430" s="50">
        <f t="shared" si="407"/>
        <v>-5.7805892815999478</v>
      </c>
      <c r="AU430" s="61">
        <f t="shared" si="408"/>
        <v>-118.19205125777853</v>
      </c>
      <c r="AV430" s="32" t="str">
        <f t="shared" si="383"/>
        <v>-0.0000333333333333333</v>
      </c>
      <c r="AW430" s="32" t="str">
        <f t="shared" si="384"/>
        <v>0.0397576865797829i</v>
      </c>
      <c r="AX430" s="32">
        <f t="shared" si="409"/>
        <v>3.9757686579782903E-2</v>
      </c>
      <c r="AY430" s="32">
        <f t="shared" si="410"/>
        <v>1.5707963267948966</v>
      </c>
      <c r="AZ430" s="32" t="str">
        <f t="shared" si="385"/>
        <v>1+16.22058393446i</v>
      </c>
      <c r="BA430" s="32">
        <f t="shared" si="411"/>
        <v>16.251379731421629</v>
      </c>
      <c r="BB430" s="32">
        <f t="shared" si="412"/>
        <v>1.5092241925677869</v>
      </c>
      <c r="BC430" s="32" t="str">
        <f t="shared" si="386"/>
        <v>1+778.588028854083i</v>
      </c>
      <c r="BD430" s="32">
        <f t="shared" si="413"/>
        <v>778.58867104196054</v>
      </c>
      <c r="BE430" s="32">
        <f t="shared" si="414"/>
        <v>1.5695119512161992</v>
      </c>
      <c r="BF430" s="59" t="str">
        <f t="shared" si="415"/>
        <v>-0.00242014566144626+0.0400945881322233i</v>
      </c>
      <c r="BG430" s="50">
        <f t="shared" si="416"/>
        <v>-27.922490369602873</v>
      </c>
      <c r="BH430" s="61">
        <f t="shared" si="417"/>
        <v>93.454234126857344</v>
      </c>
      <c r="BI430" s="59" t="str">
        <f t="shared" si="418"/>
        <v>-0.00122149516474673-0.0100640617913702i</v>
      </c>
      <c r="BJ430" s="64">
        <f t="shared" si="419"/>
        <v>-39.881024145324993</v>
      </c>
      <c r="BK430" s="61">
        <f t="shared" si="420"/>
        <v>-96.920253885061541</v>
      </c>
      <c r="BL430" s="59" t="str">
        <f t="shared" si="371"/>
        <v>0.0187517973006953-0.00863986282902291i</v>
      </c>
      <c r="BM430" s="64">
        <f t="shared" si="421"/>
        <v>-33.703079651202806</v>
      </c>
      <c r="BN430" s="61">
        <f t="shared" si="372"/>
        <v>-24.737817130921137</v>
      </c>
      <c r="BO430" s="50">
        <f t="shared" si="422"/>
        <v>-39.881024145324993</v>
      </c>
      <c r="BP430" s="61">
        <f t="shared" si="423"/>
        <v>-96.920253885061541</v>
      </c>
    </row>
    <row r="431" spans="14:68" x14ac:dyDescent="0.25">
      <c r="N431" s="11">
        <v>13</v>
      </c>
      <c r="O431" s="51">
        <f t="shared" si="424"/>
        <v>134896.28825916545</v>
      </c>
      <c r="P431" s="49" t="str">
        <f t="shared" si="374"/>
        <v>37.1583961085025</v>
      </c>
      <c r="Q431" s="18" t="str">
        <f t="shared" si="375"/>
        <v>1+664.340337618246i</v>
      </c>
      <c r="R431" s="18">
        <f t="shared" si="387"/>
        <v>664.34109024410418</v>
      </c>
      <c r="S431" s="18">
        <f t="shared" si="388"/>
        <v>1.5692910753625895</v>
      </c>
      <c r="T431" s="18" t="str">
        <f t="shared" si="376"/>
        <v>1+0.762820538744746i</v>
      </c>
      <c r="U431" s="18">
        <f t="shared" si="389"/>
        <v>1.2577341429454894</v>
      </c>
      <c r="V431" s="18">
        <f t="shared" si="390"/>
        <v>0.65165588834696397</v>
      </c>
      <c r="W431" s="32" t="str">
        <f t="shared" si="377"/>
        <v>1-6.67688694937166i</v>
      </c>
      <c r="X431" s="18">
        <f t="shared" si="391"/>
        <v>6.7513568513810309</v>
      </c>
      <c r="Y431" s="18">
        <f t="shared" si="392"/>
        <v>-1.4221309386941987</v>
      </c>
      <c r="Z431" s="32" t="str">
        <f t="shared" si="378"/>
        <v>0.545074785347505+1.60757365387318i</v>
      </c>
      <c r="AA431" s="18">
        <f t="shared" si="393"/>
        <v>1.6974685782802563</v>
      </c>
      <c r="AB431" s="18">
        <f t="shared" si="394"/>
        <v>1.2438945969613584</v>
      </c>
      <c r="AC431" s="32" t="str">
        <f>IMDIV(IMSUM(COMPLEX(0,2*PI()*O431*Constants!$B$61*Constants!$B$62),COMPLEX(1,0)),IMSUM(COMPLEX(0,2*PI()*O431*Constants!$B$61*Constants!$B$62),COMPLEX(2,0)))</f>
        <v>0.870919654641708+0.218811419083488i</v>
      </c>
      <c r="AD431" s="18">
        <f t="shared" si="395"/>
        <v>0.89798634842772629</v>
      </c>
      <c r="AE431" s="18">
        <f t="shared" si="396"/>
        <v>0.24614707132773889</v>
      </c>
      <c r="AF431" s="66" t="str">
        <f t="shared" si="397"/>
        <v>-0.246447642624255+0.0489117012303519i</v>
      </c>
      <c r="AG431" s="64">
        <f t="shared" si="398"/>
        <v>-11.997724998924353</v>
      </c>
      <c r="AH431" s="61">
        <f t="shared" si="399"/>
        <v>168.77455371072372</v>
      </c>
      <c r="AI431" s="50" t="str">
        <f t="shared" si="379"/>
        <v>107.538871525172</v>
      </c>
      <c r="AJ431" s="50" t="str">
        <f t="shared" si="380"/>
        <v>1+631.55596551919i</v>
      </c>
      <c r="AK431" s="50">
        <f t="shared" si="400"/>
        <v>631.55675721416844</v>
      </c>
      <c r="AL431" s="50">
        <f t="shared" si="401"/>
        <v>1.5692129371684995</v>
      </c>
      <c r="AM431" s="50" t="str">
        <f t="shared" si="381"/>
        <v>1+0.762820538744746i</v>
      </c>
      <c r="AN431" s="50">
        <f t="shared" si="402"/>
        <v>1.2577341429454894</v>
      </c>
      <c r="AO431" s="50">
        <f t="shared" si="403"/>
        <v>0.65165588834696397</v>
      </c>
      <c r="AP431" s="50" t="str">
        <f t="shared" si="382"/>
        <v>1-2.19324126576749i</v>
      </c>
      <c r="AQ431" s="50">
        <f t="shared" si="404"/>
        <v>2.4104578921577082</v>
      </c>
      <c r="AR431" s="50">
        <f t="shared" si="405"/>
        <v>-1.1430085625171409</v>
      </c>
      <c r="AS431" s="59" t="str">
        <f t="shared" si="406"/>
        <v>-0.242845128964214-0.455540895615442i</v>
      </c>
      <c r="AT431" s="50">
        <f t="shared" si="407"/>
        <v>-5.7431702286498076</v>
      </c>
      <c r="AU431" s="61">
        <f t="shared" si="408"/>
        <v>-118.06171293950044</v>
      </c>
      <c r="AV431" s="32" t="str">
        <f t="shared" si="383"/>
        <v>-0.0000333333333333333</v>
      </c>
      <c r="AW431" s="32" t="str">
        <f t="shared" si="384"/>
        <v>0.0406837620663864i</v>
      </c>
      <c r="AX431" s="32">
        <f t="shared" si="409"/>
        <v>4.0683762066386402E-2</v>
      </c>
      <c r="AY431" s="32">
        <f t="shared" si="410"/>
        <v>1.5707963267948966</v>
      </c>
      <c r="AZ431" s="32" t="str">
        <f t="shared" si="385"/>
        <v>1+16.5984098708347i</v>
      </c>
      <c r="BA431" s="32">
        <f t="shared" si="411"/>
        <v>16.628505953338767</v>
      </c>
      <c r="BB431" s="32">
        <f t="shared" si="412"/>
        <v>1.5106223254195046</v>
      </c>
      <c r="BC431" s="32" t="str">
        <f t="shared" si="386"/>
        <v>1+796.723673800069i</v>
      </c>
      <c r="BD431" s="32">
        <f t="shared" si="413"/>
        <v>796.72430136997752</v>
      </c>
      <c r="BE431" s="32">
        <f t="shared" si="414"/>
        <v>1.5695411871426441</v>
      </c>
      <c r="BF431" s="59" t="str">
        <f t="shared" si="415"/>
        <v>-0.00231161509381777+0.0391884624940433i</v>
      </c>
      <c r="BG431" s="50">
        <f t="shared" si="416"/>
        <v>-28.121750533253049</v>
      </c>
      <c r="BH431" s="61">
        <f t="shared" si="417"/>
        <v>93.375802110450778</v>
      </c>
      <c r="BI431" s="59" t="str">
        <f t="shared" si="418"/>
        <v>-0.00134708227865946-0.00977096922655439i</v>
      </c>
      <c r="BJ431" s="64">
        <f t="shared" si="419"/>
        <v>-40.119475532177404</v>
      </c>
      <c r="BK431" s="61">
        <f t="shared" si="420"/>
        <v>-97.849644178825486</v>
      </c>
      <c r="BL431" s="59" t="str">
        <f t="shared" si="371"/>
        <v>0.0184133117679024-0.00846369201811929i</v>
      </c>
      <c r="BM431" s="64">
        <f t="shared" si="421"/>
        <v>-33.864920761902873</v>
      </c>
      <c r="BN431" s="61">
        <f t="shared" si="372"/>
        <v>-24.685910829049728</v>
      </c>
      <c r="BO431" s="50">
        <f t="shared" si="422"/>
        <v>-40.119475532177404</v>
      </c>
      <c r="BP431" s="61">
        <f t="shared" si="423"/>
        <v>-97.849644178825486</v>
      </c>
    </row>
    <row r="432" spans="14:68" x14ac:dyDescent="0.25">
      <c r="N432" s="11">
        <v>14</v>
      </c>
      <c r="O432" s="51">
        <f t="shared" si="424"/>
        <v>138038.42646028858</v>
      </c>
      <c r="P432" s="49" t="str">
        <f t="shared" si="374"/>
        <v>37.1583961085025</v>
      </c>
      <c r="Q432" s="18" t="str">
        <f t="shared" si="375"/>
        <v>1+679.814811974182i</v>
      </c>
      <c r="R432" s="18">
        <f t="shared" si="387"/>
        <v>679.81554746820291</v>
      </c>
      <c r="S432" s="18">
        <f t="shared" si="388"/>
        <v>1.5693253390183468</v>
      </c>
      <c r="T432" s="18" t="str">
        <f t="shared" si="376"/>
        <v>1+0.780588911665328i</v>
      </c>
      <c r="U432" s="18">
        <f t="shared" si="389"/>
        <v>1.2685893933873407</v>
      </c>
      <c r="V432" s="18">
        <f t="shared" si="390"/>
        <v>0.66279233679310501</v>
      </c>
      <c r="W432" s="32" t="str">
        <f t="shared" si="377"/>
        <v>1-6.83241162554285i</v>
      </c>
      <c r="X432" s="18">
        <f t="shared" si="391"/>
        <v>6.9052044590187975</v>
      </c>
      <c r="Y432" s="18">
        <f t="shared" si="392"/>
        <v>-1.4254669883415796</v>
      </c>
      <c r="Z432" s="32" t="str">
        <f t="shared" si="378"/>
        <v>0.523634820509188+1.6450188545836i</v>
      </c>
      <c r="AA432" s="18">
        <f t="shared" si="393"/>
        <v>1.7263488804946783</v>
      </c>
      <c r="AB432" s="18">
        <f t="shared" si="394"/>
        <v>1.2626222569751997</v>
      </c>
      <c r="AC432" s="32" t="str">
        <f>IMDIV(IMSUM(COMPLEX(0,2*PI()*O432*Constants!$B$61*Constants!$B$62),COMPLEX(1,0)),IMSUM(COMPLEX(0,2*PI()*O432*Constants!$B$61*Constants!$B$62),COMPLEX(2,0)))</f>
        <v>0.875280088434896+0.216344400070223i</v>
      </c>
      <c r="AD432" s="18">
        <f t="shared" si="395"/>
        <v>0.90162083641203872</v>
      </c>
      <c r="AE432" s="18">
        <f t="shared" si="396"/>
        <v>0.24231489483631705</v>
      </c>
      <c r="AF432" s="66" t="str">
        <f t="shared" si="397"/>
        <v>-0.244537330656025+0.0523040226578322i</v>
      </c>
      <c r="AG432" s="64">
        <f t="shared" si="398"/>
        <v>-12.038822845470818</v>
      </c>
      <c r="AH432" s="61">
        <f t="shared" si="399"/>
        <v>167.92693705928923</v>
      </c>
      <c r="AI432" s="50" t="str">
        <f t="shared" si="379"/>
        <v>107.538871525172</v>
      </c>
      <c r="AJ432" s="50" t="str">
        <f t="shared" si="380"/>
        <v>1+646.266793748893i</v>
      </c>
      <c r="AK432" s="50">
        <f t="shared" si="400"/>
        <v>646.2675674227155</v>
      </c>
      <c r="AL432" s="50">
        <f t="shared" si="401"/>
        <v>1.5692489794585056</v>
      </c>
      <c r="AM432" s="50" t="str">
        <f t="shared" si="381"/>
        <v>1+0.780588911665328i</v>
      </c>
      <c r="AN432" s="50">
        <f t="shared" si="402"/>
        <v>1.2685893933873407</v>
      </c>
      <c r="AO432" s="50">
        <f t="shared" si="403"/>
        <v>0.66279233679310501</v>
      </c>
      <c r="AP432" s="50" t="str">
        <f t="shared" si="382"/>
        <v>1-2.24432841764084i</v>
      </c>
      <c r="AQ432" s="50">
        <f t="shared" si="404"/>
        <v>2.4570327727220564</v>
      </c>
      <c r="AR432" s="50">
        <f t="shared" si="405"/>
        <v>-1.1516345054074868</v>
      </c>
      <c r="AS432" s="59" t="str">
        <f t="shared" si="406"/>
        <v>-0.242857290948366-0.458291919676287i</v>
      </c>
      <c r="AT432" s="50">
        <f t="shared" si="407"/>
        <v>-5.702297231307015</v>
      </c>
      <c r="AU432" s="61">
        <f t="shared" si="408"/>
        <v>-117.91993663781057</v>
      </c>
      <c r="AV432" s="32" t="str">
        <f t="shared" si="383"/>
        <v>-0.0000333333333333333</v>
      </c>
      <c r="AW432" s="32" t="str">
        <f t="shared" si="384"/>
        <v>0.0416314086221508i</v>
      </c>
      <c r="AX432" s="32">
        <f t="shared" si="409"/>
        <v>4.1631408622150798E-2</v>
      </c>
      <c r="AY432" s="32">
        <f t="shared" si="410"/>
        <v>1.5707963267948966</v>
      </c>
      <c r="AZ432" s="32" t="str">
        <f t="shared" si="385"/>
        <v>1+16.9850365038289i</v>
      </c>
      <c r="BA432" s="32">
        <f t="shared" si="411"/>
        <v>17.014448713854947</v>
      </c>
      <c r="BB432" s="32">
        <f t="shared" si="412"/>
        <v>1.5119888605163527</v>
      </c>
      <c r="BC432" s="32" t="str">
        <f t="shared" si="386"/>
        <v>1+815.281752183788i</v>
      </c>
      <c r="BD432" s="32">
        <f t="shared" si="413"/>
        <v>815.28236546847211</v>
      </c>
      <c r="BE432" s="32">
        <f t="shared" si="414"/>
        <v>1.5695697575802285</v>
      </c>
      <c r="BF432" s="59" t="str">
        <f t="shared" si="415"/>
        <v>-0.00220793466453448+0.0383025284029613i</v>
      </c>
      <c r="BG432" s="50">
        <f t="shared" si="416"/>
        <v>-28.321043877249462</v>
      </c>
      <c r="BH432" s="61">
        <f t="shared" si="417"/>
        <v>93.299142382337322</v>
      </c>
      <c r="BI432" s="59" t="str">
        <f t="shared" si="418"/>
        <v>-0.00146345386431258-0.00948188191775756i</v>
      </c>
      <c r="BJ432" s="64">
        <f t="shared" si="419"/>
        <v>-40.359866722720284</v>
      </c>
      <c r="BK432" s="61">
        <f t="shared" si="420"/>
        <v>-98.773920558373419</v>
      </c>
      <c r="BL432" s="59" t="str">
        <f t="shared" si="371"/>
        <v>0.0180899523014685-0.0082901696684867i</v>
      </c>
      <c r="BM432" s="64">
        <f t="shared" si="421"/>
        <v>-34.023341108556465</v>
      </c>
      <c r="BN432" s="61">
        <f t="shared" si="372"/>
        <v>-24.620794255473239</v>
      </c>
      <c r="BO432" s="50">
        <f t="shared" si="422"/>
        <v>-40.359866722720284</v>
      </c>
      <c r="BP432" s="61">
        <f t="shared" si="423"/>
        <v>-98.773920558373419</v>
      </c>
    </row>
    <row r="433" spans="14:68" x14ac:dyDescent="0.25">
      <c r="N433" s="11">
        <v>15</v>
      </c>
      <c r="O433" s="51">
        <f t="shared" si="424"/>
        <v>141253.75446227577</v>
      </c>
      <c r="P433" s="49" t="str">
        <f t="shared" si="374"/>
        <v>37.1583961085025</v>
      </c>
      <c r="Q433" s="18" t="str">
        <f t="shared" si="375"/>
        <v>1+695.64973314184i</v>
      </c>
      <c r="R433" s="18">
        <f t="shared" si="387"/>
        <v>695.65045189399052</v>
      </c>
      <c r="S433" s="18">
        <f t="shared" si="388"/>
        <v>1.5693588227414161</v>
      </c>
      <c r="T433" s="18" t="str">
        <f t="shared" si="376"/>
        <v>1+0.798771163159192i</v>
      </c>
      <c r="U433" s="18">
        <f t="shared" si="389"/>
        <v>1.2798575589082906</v>
      </c>
      <c r="V433" s="18">
        <f t="shared" si="390"/>
        <v>0.67399120218873476</v>
      </c>
      <c r="W433" s="32" t="str">
        <f t="shared" si="377"/>
        <v>1-6.99155893679556i</v>
      </c>
      <c r="X433" s="18">
        <f t="shared" si="391"/>
        <v>7.062711686504402</v>
      </c>
      <c r="Y433" s="18">
        <f t="shared" si="392"/>
        <v>-1.4287302511878761</v>
      </c>
      <c r="Z433" s="32" t="str">
        <f t="shared" si="378"/>
        <v>0.501184421257778+1.68333626606511i</v>
      </c>
      <c r="AA433" s="18">
        <f t="shared" si="393"/>
        <v>1.7563618103231242</v>
      </c>
      <c r="AB433" s="18">
        <f t="shared" si="394"/>
        <v>1.2814208272669467</v>
      </c>
      <c r="AC433" s="32" t="str">
        <f>IMDIV(IMSUM(COMPLEX(0,2*PI()*O433*Constants!$B$61*Constants!$B$62),COMPLEX(1,0)),IMSUM(COMPLEX(0,2*PI()*O433*Constants!$B$61*Constants!$B$62),COMPLEX(2,0)))</f>
        <v>0.879541059803188+0.213820283942068i</v>
      </c>
      <c r="AD433" s="18">
        <f t="shared" si="395"/>
        <v>0.90515832300475585</v>
      </c>
      <c r="AE433" s="18">
        <f t="shared" si="396"/>
        <v>0.23847821218034182</v>
      </c>
      <c r="AF433" s="66" t="str">
        <f t="shared" si="397"/>
        <v>-0.242536944905307+0.0556250506234491i</v>
      </c>
      <c r="AG433" s="64">
        <f t="shared" si="398"/>
        <v>-12.081808644199533</v>
      </c>
      <c r="AH433" s="61">
        <f t="shared" si="399"/>
        <v>167.08279065512949</v>
      </c>
      <c r="AI433" s="50" t="str">
        <f t="shared" si="379"/>
        <v>107.538871525172</v>
      </c>
      <c r="AJ433" s="50" t="str">
        <f t="shared" si="380"/>
        <v>1+661.320281186995i</v>
      </c>
      <c r="AK433" s="50">
        <f t="shared" si="400"/>
        <v>661.32103724987167</v>
      </c>
      <c r="AL433" s="50">
        <f t="shared" si="401"/>
        <v>1.5692842013297128</v>
      </c>
      <c r="AM433" s="50" t="str">
        <f t="shared" si="381"/>
        <v>1+0.798771163159192i</v>
      </c>
      <c r="AN433" s="50">
        <f t="shared" si="402"/>
        <v>1.2798575589082906</v>
      </c>
      <c r="AO433" s="50">
        <f t="shared" si="403"/>
        <v>0.67399120218873476</v>
      </c>
      <c r="AP433" s="50" t="str">
        <f t="shared" si="382"/>
        <v>1-2.29660554214843i</v>
      </c>
      <c r="AQ433" s="50">
        <f t="shared" si="404"/>
        <v>2.5048746508012902</v>
      </c>
      <c r="AR433" s="50">
        <f t="shared" si="405"/>
        <v>-1.1601286562033801</v>
      </c>
      <c r="AS433" s="59" t="str">
        <f t="shared" si="406"/>
        <v>-0.242868905555626-0.461285934484739i</v>
      </c>
      <c r="AT433" s="50">
        <f t="shared" si="407"/>
        <v>-5.6579845583650981</v>
      </c>
      <c r="AU433" s="61">
        <f t="shared" si="408"/>
        <v>-117.76698597102494</v>
      </c>
      <c r="AV433" s="32" t="str">
        <f t="shared" si="383"/>
        <v>-0.0000333333333333333</v>
      </c>
      <c r="AW433" s="32" t="str">
        <f t="shared" si="384"/>
        <v>0.0426011287018236i</v>
      </c>
      <c r="AX433" s="32">
        <f t="shared" si="409"/>
        <v>4.2601128701823601E-2</v>
      </c>
      <c r="AY433" s="32">
        <f t="shared" si="410"/>
        <v>1.5707963267948966</v>
      </c>
      <c r="AZ433" s="32" t="str">
        <f t="shared" si="385"/>
        <v>1+17.3806688280009i</v>
      </c>
      <c r="BA433" s="32">
        <f t="shared" si="411"/>
        <v>17.409412652603827</v>
      </c>
      <c r="BB433" s="32">
        <f t="shared" si="412"/>
        <v>1.5133245019866504</v>
      </c>
      <c r="BC433" s="32" t="str">
        <f t="shared" si="386"/>
        <v>1+834.272103744047i</v>
      </c>
      <c r="BD433" s="32">
        <f t="shared" si="413"/>
        <v>834.27270306867752</v>
      </c>
      <c r="BE433" s="32">
        <f t="shared" si="414"/>
        <v>1.5695976776771901</v>
      </c>
      <c r="BF433" s="59" t="str">
        <f t="shared" si="415"/>
        <v>-0.00210888910532083+0.0374363550166843i</v>
      </c>
      <c r="BG433" s="50">
        <f t="shared" si="416"/>
        <v>-28.520368918558102</v>
      </c>
      <c r="BH433" s="61">
        <f t="shared" si="417"/>
        <v>93.224215466866099</v>
      </c>
      <c r="BI433" s="59" t="str">
        <f t="shared" si="418"/>
        <v>-0.00157091562221188-0.00919700623737978i</v>
      </c>
      <c r="BJ433" s="64">
        <f t="shared" si="419"/>
        <v>-40.602177562757646</v>
      </c>
      <c r="BK433" s="61">
        <f t="shared" si="420"/>
        <v>-99.69299387800443</v>
      </c>
      <c r="BL433" s="59" t="str">
        <f t="shared" si="371"/>
        <v>0.0177810475965211-0.00811932568922138i</v>
      </c>
      <c r="BM433" s="64">
        <f t="shared" si="421"/>
        <v>-34.178353476923206</v>
      </c>
      <c r="BN433" s="61">
        <f t="shared" si="372"/>
        <v>-24.542770504158881</v>
      </c>
      <c r="BO433" s="50">
        <f t="shared" si="422"/>
        <v>-40.602177562757646</v>
      </c>
      <c r="BP433" s="61">
        <f t="shared" si="423"/>
        <v>-99.69299387800443</v>
      </c>
    </row>
    <row r="434" spans="14:68" x14ac:dyDescent="0.25">
      <c r="N434" s="11">
        <v>16</v>
      </c>
      <c r="O434" s="51">
        <f t="shared" si="424"/>
        <v>144543.97707459307</v>
      </c>
      <c r="P434" s="49" t="str">
        <f t="shared" si="374"/>
        <v>37.1583961085025</v>
      </c>
      <c r="Q434" s="18" t="str">
        <f t="shared" si="375"/>
        <v>1+711.853497006021i</v>
      </c>
      <c r="R434" s="18">
        <f t="shared" si="387"/>
        <v>711.85419939739154</v>
      </c>
      <c r="S434" s="18">
        <f t="shared" si="388"/>
        <v>1.5693915442850106</v>
      </c>
      <c r="T434" s="18" t="str">
        <f t="shared" si="376"/>
        <v>1+0.817376933696748i</v>
      </c>
      <c r="U434" s="18">
        <f t="shared" si="389"/>
        <v>1.2915514127356673</v>
      </c>
      <c r="V434" s="18">
        <f t="shared" si="390"/>
        <v>0.68524718690412412</v>
      </c>
      <c r="W434" s="32" t="str">
        <f t="shared" si="377"/>
        <v>1-7.15441326514078i</v>
      </c>
      <c r="X434" s="18">
        <f t="shared" si="391"/>
        <v>7.2239621516465862</v>
      </c>
      <c r="Y434" s="18">
        <f t="shared" si="392"/>
        <v>-1.4319221793124759</v>
      </c>
      <c r="Z434" s="32" t="str">
        <f t="shared" si="378"/>
        <v>0.477675967286489+1.72254620471648i</v>
      </c>
      <c r="AA434" s="18">
        <f t="shared" si="393"/>
        <v>1.7875513299220898</v>
      </c>
      <c r="AB434" s="18">
        <f t="shared" si="394"/>
        <v>1.3002855883105617</v>
      </c>
      <c r="AC434" s="32" t="str">
        <f>IMDIV(IMSUM(COMPLEX(0,2*PI()*O434*Constants!$B$61*Constants!$B$62),COMPLEX(1,0)),IMSUM(COMPLEX(0,2*PI()*O434*Constants!$B$61*Constants!$B$62),COMPLEX(2,0)))</f>
        <v>0.883701570766561+0.211243674401281i</v>
      </c>
      <c r="AD434" s="18">
        <f t="shared" si="395"/>
        <v>0.90859911740538335</v>
      </c>
      <c r="AE434" s="18">
        <f t="shared" si="396"/>
        <v>0.23464097568552705</v>
      </c>
      <c r="AF434" s="66" t="str">
        <f t="shared" si="397"/>
        <v>-0.240449915929178+0.0588723100546982i</v>
      </c>
      <c r="AG434" s="64">
        <f t="shared" si="398"/>
        <v>-12.126662831412522</v>
      </c>
      <c r="AH434" s="61">
        <f t="shared" si="399"/>
        <v>166.24222361172087</v>
      </c>
      <c r="AI434" s="50" t="str">
        <f t="shared" si="379"/>
        <v>107.538871525172</v>
      </c>
      <c r="AJ434" s="50" t="str">
        <f t="shared" si="380"/>
        <v>1+676.72440939179i</v>
      </c>
      <c r="AK434" s="50">
        <f t="shared" si="400"/>
        <v>676.72514824459347</v>
      </c>
      <c r="AL434" s="50">
        <f t="shared" si="401"/>
        <v>1.5693186214568733</v>
      </c>
      <c r="AM434" s="50" t="str">
        <f t="shared" si="381"/>
        <v>1+0.817376933696748i</v>
      </c>
      <c r="AN434" s="50">
        <f t="shared" si="402"/>
        <v>1.2915514127356673</v>
      </c>
      <c r="AO434" s="50">
        <f t="shared" si="403"/>
        <v>0.68524718690412412</v>
      </c>
      <c r="AP434" s="50" t="str">
        <f t="shared" si="382"/>
        <v>1-2.35010035731363i</v>
      </c>
      <c r="AQ434" s="50">
        <f t="shared" si="404"/>
        <v>2.554010902374078</v>
      </c>
      <c r="AR434" s="50">
        <f t="shared" si="405"/>
        <v>-1.16849061470449</v>
      </c>
      <c r="AS434" s="59" t="str">
        <f t="shared" si="406"/>
        <v>-0.242879997421786-0.46452452762017i</v>
      </c>
      <c r="AT434" s="50">
        <f t="shared" si="407"/>
        <v>-5.6102479090364312</v>
      </c>
      <c r="AU434" s="61">
        <f t="shared" si="408"/>
        <v>-117.60314261116325</v>
      </c>
      <c r="AV434" s="32" t="str">
        <f t="shared" si="383"/>
        <v>-0.0000333333333333333</v>
      </c>
      <c r="AW434" s="32" t="str">
        <f t="shared" si="384"/>
        <v>0.0435934364638265i</v>
      </c>
      <c r="AX434" s="32">
        <f t="shared" si="409"/>
        <v>4.3593436463826497E-2</v>
      </c>
      <c r="AY434" s="32">
        <f t="shared" si="410"/>
        <v>1.5707963267948966</v>
      </c>
      <c r="AZ434" s="32" t="str">
        <f t="shared" si="385"/>
        <v>1+17.7855166128459i</v>
      </c>
      <c r="BA434" s="32">
        <f t="shared" si="411"/>
        <v>17.813607191858068</v>
      </c>
      <c r="BB434" s="32">
        <f t="shared" si="412"/>
        <v>1.5146299389327893</v>
      </c>
      <c r="BC434" s="32" t="str">
        <f t="shared" si="386"/>
        <v>1+853.704797416605i</v>
      </c>
      <c r="BD434" s="32">
        <f t="shared" si="413"/>
        <v>853.70538309895096</v>
      </c>
      <c r="BE434" s="32">
        <f t="shared" si="414"/>
        <v>1.5696249622369591</v>
      </c>
      <c r="BF434" s="59" t="str">
        <f t="shared" si="415"/>
        <v>-0.00201427257247684+0.0365895194034046i</v>
      </c>
      <c r="BG434" s="50">
        <f t="shared" si="416"/>
        <v>-28.719724239988906</v>
      </c>
      <c r="BH434" s="61">
        <f t="shared" si="417"/>
        <v>93.150982729552553</v>
      </c>
      <c r="BI434" s="59" t="str">
        <f t="shared" si="418"/>
        <v>-0.00166977786035913-0.00891653174385919i</v>
      </c>
      <c r="BJ434" s="64">
        <f t="shared" si="419"/>
        <v>-40.846387071401431</v>
      </c>
      <c r="BK434" s="61">
        <f t="shared" si="420"/>
        <v>-100.60679365872659</v>
      </c>
      <c r="BL434" s="59" t="str">
        <f t="shared" ref="BL434:BL497" si="425">IMPRODUCT(AS434,BF434)</f>
        <v>0.0174859557339255-0.00795118336313523i</v>
      </c>
      <c r="BM434" s="64">
        <f t="shared" si="421"/>
        <v>-34.329972149025345</v>
      </c>
      <c r="BN434" s="61">
        <f t="shared" ref="BN434:BN497" si="426">(180/PI())*IMARGUMENT(BL434)</f>
        <v>-24.452159881610694</v>
      </c>
      <c r="BO434" s="50">
        <f t="shared" si="422"/>
        <v>-40.846387071401431</v>
      </c>
      <c r="BP434" s="61">
        <f t="shared" si="423"/>
        <v>-100.60679365872659</v>
      </c>
    </row>
    <row r="435" spans="14:68" x14ac:dyDescent="0.25">
      <c r="N435" s="11">
        <v>17</v>
      </c>
      <c r="O435" s="51">
        <f t="shared" si="424"/>
        <v>147910.83881682079</v>
      </c>
      <c r="P435" s="49" t="str">
        <f t="shared" si="374"/>
        <v>37.1583961085025</v>
      </c>
      <c r="Q435" s="18" t="str">
        <f t="shared" si="375"/>
        <v>1+728.434695016809i</v>
      </c>
      <c r="R435" s="18">
        <f t="shared" si="387"/>
        <v>728.43538141981503</v>
      </c>
      <c r="S435" s="18">
        <f t="shared" si="388"/>
        <v>1.5694235209982448</v>
      </c>
      <c r="T435" s="18" t="str">
        <f t="shared" si="376"/>
        <v>1+0.836416088303811i</v>
      </c>
      <c r="U435" s="18">
        <f t="shared" si="389"/>
        <v>1.3036839619990148</v>
      </c>
      <c r="V435" s="18">
        <f t="shared" si="390"/>
        <v>0.69655485087250368</v>
      </c>
      <c r="W435" s="32" t="str">
        <f t="shared" si="377"/>
        <v>1-7.32106095809901i</v>
      </c>
      <c r="X435" s="18">
        <f t="shared" si="391"/>
        <v>7.3890414501612858</v>
      </c>
      <c r="Y435" s="18">
        <f t="shared" si="392"/>
        <v>-1.4350442048164647</v>
      </c>
      <c r="Z435" s="32" t="str">
        <f t="shared" si="378"/>
        <v>0.453059594012613+1.76266946016618i</v>
      </c>
      <c r="AA435" s="18">
        <f t="shared" si="393"/>
        <v>1.8199633571941514</v>
      </c>
      <c r="AB435" s="18">
        <f t="shared" si="394"/>
        <v>1.319211862851134</v>
      </c>
      <c r="AC435" s="32" t="str">
        <f>IMDIV(IMSUM(COMPLEX(0,2*PI()*O435*Constants!$B$61*Constants!$B$62),COMPLEX(1,0)),IMSUM(COMPLEX(0,2*PI()*O435*Constants!$B$61*Constants!$B$62),COMPLEX(2,0)))</f>
        <v>0.887760877737751+0.208619127993874i</v>
      </c>
      <c r="AD435" s="18">
        <f t="shared" si="395"/>
        <v>0.91194370254233703</v>
      </c>
      <c r="AE435" s="18">
        <f t="shared" si="396"/>
        <v>0.23080696644178897</v>
      </c>
      <c r="AF435" s="66" t="str">
        <f t="shared" si="397"/>
        <v>-0.23827973482883+0.0620435708722341i</v>
      </c>
      <c r="AG435" s="64">
        <f t="shared" si="398"/>
        <v>-12.173365237311122</v>
      </c>
      <c r="AH435" s="61">
        <f t="shared" si="399"/>
        <v>165.40532581627835</v>
      </c>
      <c r="AI435" s="50" t="str">
        <f t="shared" si="379"/>
        <v>107.538871525172</v>
      </c>
      <c r="AJ435" s="50" t="str">
        <f t="shared" si="380"/>
        <v>1+692.487345835949i</v>
      </c>
      <c r="AK435" s="50">
        <f t="shared" si="400"/>
        <v>692.48806787042713</v>
      </c>
      <c r="AL435" s="50">
        <f t="shared" si="401"/>
        <v>1.5693522580896682</v>
      </c>
      <c r="AM435" s="50" t="str">
        <f t="shared" si="381"/>
        <v>1+0.836416088303811i</v>
      </c>
      <c r="AN435" s="50">
        <f t="shared" si="402"/>
        <v>1.3036839619990148</v>
      </c>
      <c r="AO435" s="50">
        <f t="shared" si="403"/>
        <v>0.69655485087250368</v>
      </c>
      <c r="AP435" s="50" t="str">
        <f t="shared" si="382"/>
        <v>1-2.40484122679553i</v>
      </c>
      <c r="AQ435" s="50">
        <f t="shared" si="404"/>
        <v>2.6044694903368382</v>
      </c>
      <c r="AR435" s="50">
        <f t="shared" si="405"/>
        <v>-1.1767201359785415</v>
      </c>
      <c r="AS435" s="59" t="str">
        <f t="shared" si="406"/>
        <v>-0.242890590073865-0.468009416333077i</v>
      </c>
      <c r="AT435" s="50">
        <f t="shared" si="407"/>
        <v>-5.5591044512022538</v>
      </c>
      <c r="AU435" s="61">
        <f t="shared" si="408"/>
        <v>-117.4287052631354</v>
      </c>
      <c r="AV435" s="32" t="str">
        <f t="shared" si="383"/>
        <v>-0.0000333333333333333</v>
      </c>
      <c r="AW435" s="32" t="str">
        <f t="shared" si="384"/>
        <v>0.0446088580428699i</v>
      </c>
      <c r="AX435" s="32">
        <f t="shared" si="409"/>
        <v>4.4608858042869903E-2</v>
      </c>
      <c r="AY435" s="32">
        <f t="shared" si="410"/>
        <v>1.5707963267948966</v>
      </c>
      <c r="AZ435" s="32" t="str">
        <f t="shared" si="385"/>
        <v>1+18.1997945140181i</v>
      </c>
      <c r="BA435" s="32">
        <f t="shared" si="411"/>
        <v>18.227246647601042</v>
      </c>
      <c r="BB435" s="32">
        <f t="shared" si="412"/>
        <v>1.515905845707199</v>
      </c>
      <c r="BC435" s="32" t="str">
        <f t="shared" si="386"/>
        <v>1+873.590136672871i</v>
      </c>
      <c r="BD435" s="32">
        <f t="shared" si="413"/>
        <v>873.59070902346787</v>
      </c>
      <c r="BE435" s="32">
        <f t="shared" si="414"/>
        <v>1.5696516257260082</v>
      </c>
      <c r="BF435" s="59" t="str">
        <f t="shared" si="415"/>
        <v>-0.00192388824568589+0.0357616064857646i</v>
      </c>
      <c r="BG435" s="50">
        <f t="shared" si="416"/>
        <v>-28.919108487310034</v>
      </c>
      <c r="BH435" s="61">
        <f t="shared" si="417"/>
        <v>93.079406361716309</v>
      </c>
      <c r="BI435" s="59" t="str">
        <f t="shared" si="418"/>
        <v>-0.00176035418548215-0.00864063100720243i</v>
      </c>
      <c r="BJ435" s="64">
        <f t="shared" si="419"/>
        <v>-41.092473724621144</v>
      </c>
      <c r="BK435" s="61">
        <f t="shared" si="420"/>
        <v>-101.51526782200537</v>
      </c>
      <c r="BL435" s="59" t="str">
        <f t="shared" si="425"/>
        <v>0.0172040629297667-0.0077857598863632i</v>
      </c>
      <c r="BM435" s="64">
        <f t="shared" si="421"/>
        <v>-34.478212938512279</v>
      </c>
      <c r="BN435" s="61">
        <f t="shared" si="426"/>
        <v>-24.349298901419061</v>
      </c>
      <c r="BO435" s="50">
        <f t="shared" si="422"/>
        <v>-41.092473724621144</v>
      </c>
      <c r="BP435" s="61">
        <f t="shared" si="423"/>
        <v>-101.51526782200537</v>
      </c>
    </row>
    <row r="436" spans="14:68" x14ac:dyDescent="0.25">
      <c r="N436" s="11">
        <v>18</v>
      </c>
      <c r="O436" s="51">
        <f t="shared" si="424"/>
        <v>151356.12484362084</v>
      </c>
      <c r="P436" s="49" t="str">
        <f t="shared" si="374"/>
        <v>37.1583961085025</v>
      </c>
      <c r="Q436" s="18" t="str">
        <f t="shared" si="375"/>
        <v>1+745.402118744869i</v>
      </c>
      <c r="R436" s="18">
        <f t="shared" si="387"/>
        <v>745.40278952344931</v>
      </c>
      <c r="S436" s="18">
        <f t="shared" si="388"/>
        <v>1.5694547698353341</v>
      </c>
      <c r="T436" s="18" t="str">
        <f t="shared" si="376"/>
        <v>1+0.855898721792171i</v>
      </c>
      <c r="U436" s="18">
        <f t="shared" si="389"/>
        <v>1.3162684460114784</v>
      </c>
      <c r="V436" s="18">
        <f t="shared" si="390"/>
        <v>0.70790862363948415</v>
      </c>
      <c r="W436" s="32" t="str">
        <f t="shared" si="377"/>
        <v>1-7.49159037448295i</v>
      </c>
      <c r="X436" s="18">
        <f t="shared" si="391"/>
        <v>7.5580372014859503</v>
      </c>
      <c r="Y436" s="18">
        <f t="shared" si="392"/>
        <v>-1.438097739466965</v>
      </c>
      <c r="Z436" s="32" t="str">
        <f t="shared" si="378"/>
        <v>0.427283086808057+1.80372730629535i</v>
      </c>
      <c r="AA436" s="18">
        <f t="shared" si="393"/>
        <v>1.8536458754971785</v>
      </c>
      <c r="AB436" s="18">
        <f t="shared" si="394"/>
        <v>1.3381950188217597</v>
      </c>
      <c r="AC436" s="32" t="str">
        <f>IMDIV(IMSUM(COMPLEX(0,2*PI()*O436*Constants!$B$61*Constants!$B$62),COMPLEX(1,0)),IMSUM(COMPLEX(0,2*PI()*O436*Constants!$B$61*Constants!$B$62),COMPLEX(2,0)))</f>
        <v>0.891718482140612+0.205951139399036i</v>
      </c>
      <c r="AD436" s="18">
        <f t="shared" si="395"/>
        <v>0.91519272462739687</v>
      </c>
      <c r="AE436" s="18">
        <f t="shared" si="396"/>
        <v>0.22697979241876098</v>
      </c>
      <c r="AF436" s="66" t="str">
        <f t="shared" si="397"/>
        <v>-0.236029931936329+0.0651368425201049i</v>
      </c>
      <c r="AG436" s="64">
        <f t="shared" si="398"/>
        <v>-12.221895364718339</v>
      </c>
      <c r="AH436" s="61">
        <f t="shared" si="399"/>
        <v>164.57216836488948</v>
      </c>
      <c r="AI436" s="50" t="str">
        <f t="shared" si="379"/>
        <v>107.538871525172</v>
      </c>
      <c r="AJ436" s="50" t="str">
        <f t="shared" si="380"/>
        <v>1+708.617448237026i</v>
      </c>
      <c r="AK436" s="50">
        <f t="shared" si="400"/>
        <v>708.61815383600936</v>
      </c>
      <c r="AL436" s="50">
        <f t="shared" si="401"/>
        <v>1.5693851290623804</v>
      </c>
      <c r="AM436" s="50" t="str">
        <f t="shared" si="381"/>
        <v>1+0.855898721792171i</v>
      </c>
      <c r="AN436" s="50">
        <f t="shared" si="402"/>
        <v>1.3162684460114784</v>
      </c>
      <c r="AO436" s="50">
        <f t="shared" si="403"/>
        <v>0.70790862363948415</v>
      </c>
      <c r="AP436" s="50" t="str">
        <f t="shared" si="382"/>
        <v>1-2.46085717492772i</v>
      </c>
      <c r="AQ436" s="50">
        <f t="shared" si="404"/>
        <v>2.6562789829747251</v>
      </c>
      <c r="AR436" s="50">
        <f t="shared" si="405"/>
        <v>-1.18481712361979</v>
      </c>
      <c r="AS436" s="59" t="str">
        <f t="shared" si="406"/>
        <v>-0.24290070598001-0.471742448456084i</v>
      </c>
      <c r="AT436" s="50">
        <f t="shared" si="407"/>
        <v>-5.5045728580493227</v>
      </c>
      <c r="AU436" s="61">
        <f t="shared" si="408"/>
        <v>-117.24398858865487</v>
      </c>
      <c r="AV436" s="32" t="str">
        <f t="shared" si="383"/>
        <v>-0.0000333333333333333</v>
      </c>
      <c r="AW436" s="32" t="str">
        <f t="shared" si="384"/>
        <v>0.0456479318289157i</v>
      </c>
      <c r="AX436" s="32">
        <f t="shared" si="409"/>
        <v>4.5647931828915703E-2</v>
      </c>
      <c r="AY436" s="32">
        <f t="shared" si="410"/>
        <v>1.5707963267948966</v>
      </c>
      <c r="AZ436" s="32" t="str">
        <f t="shared" si="385"/>
        <v>1+18.6237221871445i</v>
      </c>
      <c r="BA436" s="32">
        <f t="shared" si="411"/>
        <v>18.650550343191977</v>
      </c>
      <c r="BB436" s="32">
        <f t="shared" si="412"/>
        <v>1.5171528821863514</v>
      </c>
      <c r="BC436" s="32" t="str">
        <f t="shared" si="386"/>
        <v>1+893.938664982936i</v>
      </c>
      <c r="BD436" s="32">
        <f t="shared" si="413"/>
        <v>893.93922430525083</v>
      </c>
      <c r="BE436" s="32">
        <f t="shared" si="414"/>
        <v>1.5696776822815204</v>
      </c>
      <c r="BF436" s="59" t="str">
        <f t="shared" si="415"/>
        <v>-0.0018375479428892+0.034952208978086i</v>
      </c>
      <c r="BG436" s="50">
        <f t="shared" si="416"/>
        <v>-29.11852036648737</v>
      </c>
      <c r="BH436" s="61">
        <f t="shared" si="417"/>
        <v>93.009449365221514</v>
      </c>
      <c r="BI436" s="59" t="str">
        <f t="shared" si="418"/>
        <v>-0.00184296021604551-0.0083694595771011i</v>
      </c>
      <c r="BJ436" s="64">
        <f t="shared" si="419"/>
        <v>-41.340415731205709</v>
      </c>
      <c r="BK436" s="61">
        <f t="shared" si="420"/>
        <v>-102.41838226988905</v>
      </c>
      <c r="BL436" s="59" t="str">
        <f t="shared" si="425"/>
        <v>0.0169347823348709-0.00762306687060394i</v>
      </c>
      <c r="BM436" s="64">
        <f t="shared" si="421"/>
        <v>-34.623093224536696</v>
      </c>
      <c r="BN436" s="61">
        <f t="shared" si="426"/>
        <v>-24.234539223433377</v>
      </c>
      <c r="BO436" s="50">
        <f t="shared" si="422"/>
        <v>-41.340415731205709</v>
      </c>
      <c r="BP436" s="61">
        <f t="shared" si="423"/>
        <v>-102.41838226988905</v>
      </c>
    </row>
    <row r="437" spans="14:68" x14ac:dyDescent="0.25">
      <c r="N437" s="11">
        <v>19</v>
      </c>
      <c r="O437" s="51">
        <f t="shared" si="424"/>
        <v>154881.66189124843</v>
      </c>
      <c r="P437" s="49" t="str">
        <f t="shared" si="374"/>
        <v>37.1583961085025</v>
      </c>
      <c r="Q437" s="18" t="str">
        <f t="shared" si="375"/>
        <v>1+762.764764542853i</v>
      </c>
      <c r="R437" s="18">
        <f t="shared" si="387"/>
        <v>762.76542005266197</v>
      </c>
      <c r="S437" s="18">
        <f t="shared" si="388"/>
        <v>1.5694853073645807</v>
      </c>
      <c r="T437" s="18" t="str">
        <f t="shared" si="376"/>
        <v>1+0.875835164111985i</v>
      </c>
      <c r="U437" s="18">
        <f t="shared" si="389"/>
        <v>1.3293183345967465</v>
      </c>
      <c r="V437" s="18">
        <f t="shared" si="390"/>
        <v>0.71930281719586242</v>
      </c>
      <c r="W437" s="32" t="str">
        <f t="shared" si="377"/>
        <v>1-7.66609193124636i</v>
      </c>
      <c r="X437" s="18">
        <f t="shared" si="391"/>
        <v>7.7310390956404138</v>
      </c>
      <c r="Y437" s="18">
        <f t="shared" si="392"/>
        <v>-1.4410841743971783</v>
      </c>
      <c r="Z437" s="32" t="str">
        <f t="shared" si="378"/>
        <v>0.400291770245126+1.84574151251748i</v>
      </c>
      <c r="AA437" s="18">
        <f t="shared" si="393"/>
        <v>1.8886490495473984</v>
      </c>
      <c r="AB437" s="18">
        <f t="shared" si="394"/>
        <v>1.3572304712739769</v>
      </c>
      <c r="AC437" s="32" t="str">
        <f>IMDIV(IMSUM(COMPLEX(0,2*PI()*O437*Constants!$B$61*Constants!$B$62),COMPLEX(1,0)),IMSUM(COMPLEX(0,2*PI()*O437*Constants!$B$61*Constants!$B$62),COMPLEX(2,0)))</f>
        <v>0.895574120226693+0.203244127886206i</v>
      </c>
      <c r="AD437" s="18">
        <f t="shared" si="395"/>
        <v>0.9183469825398457</v>
      </c>
      <c r="AE437" s="18">
        <f t="shared" si="396"/>
        <v>0.22316288744413129</v>
      </c>
      <c r="AF437" s="66" t="str">
        <f t="shared" si="397"/>
        <v>-0.233704056909276+0.0681503665975436i</v>
      </c>
      <c r="AG437" s="64">
        <f t="shared" si="398"/>
        <v>-12.272232657949026</v>
      </c>
      <c r="AH437" s="61">
        <f t="shared" si="399"/>
        <v>163.74280414530804</v>
      </c>
      <c r="AI437" s="50" t="str">
        <f t="shared" si="379"/>
        <v>107.538871525172</v>
      </c>
      <c r="AJ437" s="50" t="str">
        <f t="shared" si="380"/>
        <v>1+725.12326898882i</v>
      </c>
      <c r="AK437" s="50">
        <f t="shared" si="400"/>
        <v>725.12395852642499</v>
      </c>
      <c r="AL437" s="50">
        <f t="shared" si="401"/>
        <v>1.5694172518033505</v>
      </c>
      <c r="AM437" s="50" t="str">
        <f t="shared" si="381"/>
        <v>1+0.875835164111985i</v>
      </c>
      <c r="AN437" s="50">
        <f t="shared" si="402"/>
        <v>1.3293183345967465</v>
      </c>
      <c r="AO437" s="50">
        <f t="shared" si="403"/>
        <v>0.71930281719586242</v>
      </c>
      <c r="AP437" s="50" t="str">
        <f t="shared" si="382"/>
        <v>1-2.51817790210735i</v>
      </c>
      <c r="AQ437" s="50">
        <f t="shared" si="404"/>
        <v>2.7094685727392696</v>
      </c>
      <c r="AR437" s="50">
        <f t="shared" si="405"/>
        <v>-1.192781622924993</v>
      </c>
      <c r="AS437" s="59" t="str">
        <f t="shared" si="406"/>
        <v>-0.242910366597151-0.475725603384163i</v>
      </c>
      <c r="AT437" s="50">
        <f t="shared" si="407"/>
        <v>-5.4466733422923035</v>
      </c>
      <c r="AU437" s="61">
        <f t="shared" si="408"/>
        <v>-117.04932208052618</v>
      </c>
      <c r="AV437" s="32" t="str">
        <f t="shared" si="383"/>
        <v>-0.0000333333333333333</v>
      </c>
      <c r="AW437" s="32" t="str">
        <f t="shared" si="384"/>
        <v>0.0467112087526391i</v>
      </c>
      <c r="AX437" s="32">
        <f t="shared" si="409"/>
        <v>4.6711208752639101E-2</v>
      </c>
      <c r="AY437" s="32">
        <f t="shared" si="410"/>
        <v>1.5707963267948966</v>
      </c>
      <c r="AZ437" s="32" t="str">
        <f t="shared" si="385"/>
        <v>1+19.0575244042886i</v>
      </c>
      <c r="BA437" s="32">
        <f t="shared" si="411"/>
        <v>19.083742725682917</v>
      </c>
      <c r="BB437" s="32">
        <f t="shared" si="412"/>
        <v>1.5183716940425702</v>
      </c>
      <c r="BC437" s="32" t="str">
        <f t="shared" si="386"/>
        <v>1+914.761171405852i</v>
      </c>
      <c r="BD437" s="32">
        <f t="shared" si="413"/>
        <v>914.76171799644442</v>
      </c>
      <c r="BE437" s="32">
        <f t="shared" si="414"/>
        <v>1.5697031457188844</v>
      </c>
      <c r="BF437" s="59" t="str">
        <f t="shared" si="415"/>
        <v>-0.00175507175067501+0.0341609273175376i</v>
      </c>
      <c r="BG437" s="50">
        <f t="shared" si="416"/>
        <v>-29.317958641040491</v>
      </c>
      <c r="BH437" s="61">
        <f t="shared" si="417"/>
        <v>92.941075537332537</v>
      </c>
      <c r="BI437" s="59" t="str">
        <f t="shared" si="418"/>
        <v>-0.00191791233170261-0.00810315608510494i</v>
      </c>
      <c r="BJ437" s="64">
        <f t="shared" si="419"/>
        <v>-41.590191298989517</v>
      </c>
      <c r="BK437" s="61">
        <f t="shared" si="420"/>
        <v>-103.31612031735938</v>
      </c>
      <c r="BL437" s="59" t="str">
        <f t="shared" si="425"/>
        <v>0.0166775528826589-0.00746311081042932i</v>
      </c>
      <c r="BM437" s="64">
        <f t="shared" si="421"/>
        <v>-34.764631983332784</v>
      </c>
      <c r="BN437" s="61">
        <f t="shared" si="426"/>
        <v>-24.108246543193616</v>
      </c>
      <c r="BO437" s="50">
        <f t="shared" si="422"/>
        <v>-41.590191298989517</v>
      </c>
      <c r="BP437" s="61">
        <f t="shared" si="423"/>
        <v>-103.31612031735938</v>
      </c>
    </row>
    <row r="438" spans="14:68" x14ac:dyDescent="0.25">
      <c r="N438" s="11">
        <v>20</v>
      </c>
      <c r="O438" s="51">
        <f t="shared" si="424"/>
        <v>158489.31924611164</v>
      </c>
      <c r="P438" s="49" t="str">
        <f t="shared" si="374"/>
        <v>37.1583961085025</v>
      </c>
      <c r="Q438" s="18" t="str">
        <f t="shared" si="375"/>
        <v>1+780.53183831538i</v>
      </c>
      <c r="R438" s="18">
        <f t="shared" si="387"/>
        <v>780.53247890397643</v>
      </c>
      <c r="S438" s="18">
        <f t="shared" si="388"/>
        <v>1.5695151497771596</v>
      </c>
      <c r="T438" s="18" t="str">
        <f t="shared" si="376"/>
        <v>1+0.896235985828858i</v>
      </c>
      <c r="U438" s="18">
        <f t="shared" si="389"/>
        <v>1.3428473265023932</v>
      </c>
      <c r="V438" s="18">
        <f t="shared" si="390"/>
        <v>0.73073163952785247</v>
      </c>
      <c r="W438" s="32" t="str">
        <f t="shared" si="377"/>
        <v>1-7.84465815142443i</v>
      </c>
      <c r="X438" s="18">
        <f t="shared" si="391"/>
        <v>7.9081389411611731</v>
      </c>
      <c r="Y438" s="18">
        <f t="shared" si="392"/>
        <v>-1.4440048798583549</v>
      </c>
      <c r="Z438" s="32" t="str">
        <f t="shared" si="378"/>
        <v>0.372028392122605+1.88873435532081i</v>
      </c>
      <c r="AA438" s="18">
        <f t="shared" si="393"/>
        <v>1.925025347758945</v>
      </c>
      <c r="AB438" s="18">
        <f t="shared" si="394"/>
        <v>1.3763136833286309</v>
      </c>
      <c r="AC438" s="32" t="str">
        <f>IMDIV(IMSUM(COMPLEX(0,2*PI()*O438*Constants!$B$61*Constants!$B$62),COMPLEX(1,0)),IMSUM(COMPLEX(0,2*PI()*O438*Constants!$B$61*Constants!$B$62),COMPLEX(2,0)))</f>
        <v>0.899327752220675+0.200502424964689i</v>
      </c>
      <c r="AD438" s="18">
        <f t="shared" si="395"/>
        <v>0.92140741712394125</v>
      </c>
      <c r="AE438" s="18">
        <f t="shared" si="396"/>
        <v>0.21935951098827319</v>
      </c>
      <c r="AF438" s="66" t="str">
        <f t="shared" si="397"/>
        <v>-0.231305660399628+0.0710826078188855i</v>
      </c>
      <c r="AG438" s="64">
        <f t="shared" si="398"/>
        <v>-12.324356759797343</v>
      </c>
      <c r="AH438" s="61">
        <f t="shared" si="399"/>
        <v>162.91726856021353</v>
      </c>
      <c r="AI438" s="50" t="str">
        <f t="shared" si="379"/>
        <v>107.538871525172</v>
      </c>
      <c r="AJ438" s="50" t="str">
        <f t="shared" si="380"/>
        <v>1+742.013559695971i</v>
      </c>
      <c r="AK438" s="50">
        <f t="shared" si="400"/>
        <v>742.0142335377983</v>
      </c>
      <c r="AL438" s="50">
        <f t="shared" si="401"/>
        <v>1.5694486433442159</v>
      </c>
      <c r="AM438" s="50" t="str">
        <f t="shared" si="381"/>
        <v>1+0.896235985828858i</v>
      </c>
      <c r="AN438" s="50">
        <f t="shared" si="402"/>
        <v>1.3428473265023932</v>
      </c>
      <c r="AO438" s="50">
        <f t="shared" si="403"/>
        <v>0.73073163952785247</v>
      </c>
      <c r="AP438" s="50" t="str">
        <f t="shared" si="382"/>
        <v>1-2.5768338005427i</v>
      </c>
      <c r="AQ438" s="50">
        <f t="shared" si="404"/>
        <v>2.7640680953296601</v>
      </c>
      <c r="AR438" s="50">
        <f t="shared" si="405"/>
        <v>-1.2006138140252132</v>
      </c>
      <c r="AS438" s="59" t="str">
        <f t="shared" si="406"/>
        <v>-0.242919592416515-0.47996099312457i</v>
      </c>
      <c r="AT438" s="50">
        <f t="shared" si="407"/>
        <v>-5.3854276872055262</v>
      </c>
      <c r="AU438" s="61">
        <f t="shared" si="408"/>
        <v>-116.84504889328485</v>
      </c>
      <c r="AV438" s="32" t="str">
        <f t="shared" si="383"/>
        <v>-0.0000333333333333333</v>
      </c>
      <c r="AW438" s="32" t="str">
        <f t="shared" si="384"/>
        <v>0.0477992525775391i</v>
      </c>
      <c r="AX438" s="32">
        <f t="shared" si="409"/>
        <v>4.77992525775391E-2</v>
      </c>
      <c r="AY438" s="32">
        <f t="shared" si="410"/>
        <v>1.5707963267948966</v>
      </c>
      <c r="AZ438" s="32" t="str">
        <f t="shared" si="385"/>
        <v>1+19.5014311731279i</v>
      </c>
      <c r="BA438" s="32">
        <f t="shared" si="411"/>
        <v>19.527053484851333</v>
      </c>
      <c r="BB438" s="32">
        <f t="shared" si="412"/>
        <v>1.5195629130134378</v>
      </c>
      <c r="BC438" s="32" t="str">
        <f t="shared" si="386"/>
        <v>1+936.068696310141i</v>
      </c>
      <c r="BD438" s="32">
        <f t="shared" si="413"/>
        <v>936.06923045881967</v>
      </c>
      <c r="BE438" s="32">
        <f t="shared" si="414"/>
        <v>1.5697280295390199</v>
      </c>
      <c r="BF438" s="59" t="str">
        <f t="shared" si="415"/>
        <v>-0.00167628766964051+0.0333873695898446i</v>
      </c>
      <c r="BG438" s="50">
        <f t="shared" si="416"/>
        <v>-29.517422129512326</v>
      </c>
      <c r="BH438" s="61">
        <f t="shared" si="417"/>
        <v>92.874249455697822</v>
      </c>
      <c r="BI438" s="59" t="str">
        <f t="shared" si="418"/>
        <v>-0.00198552647221316-0.00784184247099815i</v>
      </c>
      <c r="BJ438" s="64">
        <f t="shared" si="419"/>
        <v>-41.841778889309666</v>
      </c>
      <c r="BK438" s="61">
        <f t="shared" si="420"/>
        <v>-104.20848198408866</v>
      </c>
      <c r="BL438" s="59" t="str">
        <f t="shared" si="425"/>
        <v>0.0164318381836408-0.00730589351794147i</v>
      </c>
      <c r="BM438" s="64">
        <f t="shared" si="421"/>
        <v>-34.90284981671784</v>
      </c>
      <c r="BN438" s="61">
        <f t="shared" si="426"/>
        <v>-23.970799437587033</v>
      </c>
      <c r="BO438" s="50">
        <f t="shared" si="422"/>
        <v>-41.841778889309666</v>
      </c>
      <c r="BP438" s="61">
        <f t="shared" si="423"/>
        <v>-104.20848198408866</v>
      </c>
    </row>
    <row r="439" spans="14:68" x14ac:dyDescent="0.25">
      <c r="N439" s="11">
        <v>21</v>
      </c>
      <c r="O439" s="51">
        <f t="shared" si="424"/>
        <v>162181.00973589328</v>
      </c>
      <c r="P439" s="49" t="str">
        <f t="shared" si="374"/>
        <v>37.1583961085025</v>
      </c>
      <c r="Q439" s="18" t="str">
        <f t="shared" si="375"/>
        <v>1+798.71276040014i</v>
      </c>
      <c r="R439" s="18">
        <f t="shared" si="387"/>
        <v>798.71338640717147</v>
      </c>
      <c r="S439" s="18">
        <f t="shared" si="388"/>
        <v>1.5695443128956996</v>
      </c>
      <c r="T439" s="18" t="str">
        <f t="shared" si="376"/>
        <v>1+0.9171120037285i</v>
      </c>
      <c r="U439" s="18">
        <f t="shared" si="389"/>
        <v>1.3568693479413942</v>
      </c>
      <c r="V439" s="18">
        <f t="shared" si="390"/>
        <v>0.742189208810768</v>
      </c>
      <c r="W439" s="32" t="str">
        <f t="shared" si="377"/>
        <v>1-8.02738371319068i</v>
      </c>
      <c r="X439" s="18">
        <f t="shared" si="391"/>
        <v>8.0894307141355135</v>
      </c>
      <c r="Y439" s="18">
        <f t="shared" si="392"/>
        <v>-1.4468612050200889</v>
      </c>
      <c r="Z439" s="32" t="str">
        <f t="shared" si="378"/>
        <v>0.342433002026159+1.93272863007969i</v>
      </c>
      <c r="AA439" s="18">
        <f t="shared" si="393"/>
        <v>1.9628296712670619</v>
      </c>
      <c r="AB439" s="18">
        <f t="shared" si="394"/>
        <v>1.3954401661661564</v>
      </c>
      <c r="AC439" s="32" t="str">
        <f>IMDIV(IMSUM(COMPLEX(0,2*PI()*O439*Constants!$B$61*Constants!$B$62),COMPLEX(1,0)),IMSUM(COMPLEX(0,2*PI()*O439*Constants!$B$61*Constants!$B$62),COMPLEX(2,0)))</f>
        <v>0.902979550921989+0.197730263236831i</v>
      </c>
      <c r="AD439" s="18">
        <f t="shared" si="395"/>
        <v>0.92437510047760552</v>
      </c>
      <c r="AE439" s="18">
        <f t="shared" si="396"/>
        <v>0.21557274869689125</v>
      </c>
      <c r="AF439" s="66" t="str">
        <f t="shared" si="397"/>
        <v>-0.228838277429751+0.0739322435407748i</v>
      </c>
      <c r="AG439" s="64">
        <f t="shared" si="398"/>
        <v>-12.378247754742059</v>
      </c>
      <c r="AH439" s="61">
        <f t="shared" si="399"/>
        <v>162.09558038247403</v>
      </c>
      <c r="AI439" s="50" t="str">
        <f t="shared" si="379"/>
        <v>107.538871525172</v>
      </c>
      <c r="AJ439" s="50" t="str">
        <f t="shared" si="380"/>
        <v>1+759.297275814182i</v>
      </c>
      <c r="AK439" s="50">
        <f t="shared" si="400"/>
        <v>759.29793431751011</v>
      </c>
      <c r="AL439" s="50">
        <f t="shared" si="401"/>
        <v>1.569479320328939</v>
      </c>
      <c r="AM439" s="50" t="str">
        <f t="shared" si="381"/>
        <v>1+0.9171120037285i</v>
      </c>
      <c r="AN439" s="50">
        <f t="shared" si="402"/>
        <v>1.3568693479413942</v>
      </c>
      <c r="AO439" s="50">
        <f t="shared" si="403"/>
        <v>0.742189208810768</v>
      </c>
      <c r="AP439" s="50" t="str">
        <f t="shared" si="382"/>
        <v>1-2.63685597036752i</v>
      </c>
      <c r="AQ439" s="50">
        <f t="shared" si="404"/>
        <v>2.8201080490759272</v>
      </c>
      <c r="AR439" s="50">
        <f t="shared" si="405"/>
        <v>-1.2083140050088572</v>
      </c>
      <c r="AS439" s="59" t="str">
        <f t="shared" si="406"/>
        <v>-0.24292840300708-0.484450863417072i</v>
      </c>
      <c r="AT439" s="50">
        <f t="shared" si="407"/>
        <v>-5.3208592737230189</v>
      </c>
      <c r="AU439" s="61">
        <f t="shared" si="408"/>
        <v>-116.63152463645524</v>
      </c>
      <c r="AV439" s="32" t="str">
        <f t="shared" si="383"/>
        <v>-0.0000333333333333333</v>
      </c>
      <c r="AW439" s="32" t="str">
        <f t="shared" si="384"/>
        <v>0.0489126401988535i</v>
      </c>
      <c r="AX439" s="32">
        <f t="shared" si="409"/>
        <v>4.8912640198853503E-2</v>
      </c>
      <c r="AY439" s="32">
        <f t="shared" si="410"/>
        <v>1.5707963267948966</v>
      </c>
      <c r="AZ439" s="32" t="str">
        <f t="shared" si="385"/>
        <v>1+19.9556778589072i</v>
      </c>
      <c r="BA439" s="32">
        <f t="shared" si="411"/>
        <v>19.980717675010553</v>
      </c>
      <c r="BB439" s="32">
        <f t="shared" si="412"/>
        <v>1.520727157168605</v>
      </c>
      <c r="BC439" s="32" t="str">
        <f t="shared" si="386"/>
        <v>1+957.872537227546i</v>
      </c>
      <c r="BD439" s="32">
        <f t="shared" si="413"/>
        <v>957.87305921752318</v>
      </c>
      <c r="BE439" s="32">
        <f t="shared" si="414"/>
        <v>1.5697523469355341</v>
      </c>
      <c r="BF439" s="59" t="str">
        <f t="shared" si="415"/>
        <v>-0.00160103127419576+0.0326311514501086i</v>
      </c>
      <c r="BG439" s="50">
        <f t="shared" si="416"/>
        <v>-29.716909703048135</v>
      </c>
      <c r="BH439" s="61">
        <f t="shared" si="417"/>
        <v>92.808936463472975</v>
      </c>
      <c r="BI439" s="59" t="str">
        <f t="shared" si="418"/>
        <v>-0.00204611699712722-0.00758562432247241i</v>
      </c>
      <c r="BJ439" s="64">
        <f t="shared" si="419"/>
        <v>-42.095157457790194</v>
      </c>
      <c r="BK439" s="61">
        <f t="shared" si="420"/>
        <v>-105.09548315405299</v>
      </c>
      <c r="BL439" s="59" t="str">
        <f t="shared" si="425"/>
        <v>0.0161971254649031-0.00715141252691517i</v>
      </c>
      <c r="BM439" s="64">
        <f t="shared" si="421"/>
        <v>-35.037768976771162</v>
      </c>
      <c r="BN439" s="61">
        <f t="shared" si="426"/>
        <v>-23.822588172982268</v>
      </c>
      <c r="BO439" s="50">
        <f t="shared" si="422"/>
        <v>-42.095157457790194</v>
      </c>
      <c r="BP439" s="61">
        <f t="shared" si="423"/>
        <v>-105.09548315405299</v>
      </c>
    </row>
    <row r="440" spans="14:68" x14ac:dyDescent="0.25">
      <c r="N440" s="11">
        <v>22</v>
      </c>
      <c r="O440" s="51">
        <f t="shared" si="424"/>
        <v>165958.69074375604</v>
      </c>
      <c r="P440" s="49" t="str">
        <f t="shared" si="374"/>
        <v>37.1583961085025</v>
      </c>
      <c r="Q440" s="18" t="str">
        <f t="shared" si="375"/>
        <v>1+817.317170562683i</v>
      </c>
      <c r="R440" s="18">
        <f t="shared" si="387"/>
        <v>817.31778232006536</v>
      </c>
      <c r="S440" s="18">
        <f t="shared" si="388"/>
        <v>1.569572812182674</v>
      </c>
      <c r="T440" s="18" t="str">
        <f t="shared" si="376"/>
        <v>1+0.938474286551938i</v>
      </c>
      <c r="U440" s="18">
        <f t="shared" si="389"/>
        <v>1.3713985513041673</v>
      </c>
      <c r="V440" s="18">
        <f t="shared" si="390"/>
        <v>0.75366956816490283</v>
      </c>
      <c r="W440" s="32" t="str">
        <f t="shared" si="377"/>
        <v>1-8.21436550005671i</v>
      </c>
      <c r="X440" s="18">
        <f t="shared" si="391"/>
        <v>8.2750106083631039</v>
      </c>
      <c r="Y440" s="18">
        <f t="shared" si="392"/>
        <v>-1.4496544778155325</v>
      </c>
      <c r="Z440" s="32" t="str">
        <f t="shared" si="378"/>
        <v>0.31144282416546+1.97774766314093i</v>
      </c>
      <c r="AA440" s="18">
        <f t="shared" si="393"/>
        <v>2.0021194898865469</v>
      </c>
      <c r="AB440" s="18">
        <f t="shared" si="394"/>
        <v>1.4146054780871109</v>
      </c>
      <c r="AC440" s="32" t="str">
        <f>IMDIV(IMSUM(COMPLEX(0,2*PI()*O440*Constants!$B$61*Constants!$B$62),COMPLEX(1,0)),IMSUM(COMPLEX(0,2*PI()*O440*Constants!$B$61*Constants!$B$62),COMPLEX(2,0)))</f>
        <v>0.906529889885237+0.194931766453074i</v>
      </c>
      <c r="AD440" s="18">
        <f t="shared" si="395"/>
        <v>0.92725122530404658</v>
      </c>
      <c r="AE440" s="18">
        <f t="shared" si="396"/>
        <v>0.21180551361252564</v>
      </c>
      <c r="AF440" s="66" t="str">
        <f t="shared" si="397"/>
        <v>-0.226305412575448+0.076698152103725i</v>
      </c>
      <c r="AG440" s="64">
        <f t="shared" si="398"/>
        <v>-12.433886396611546</v>
      </c>
      <c r="AH440" s="61">
        <f t="shared" si="399"/>
        <v>161.27774273279886</v>
      </c>
      <c r="AI440" s="50" t="str">
        <f t="shared" si="379"/>
        <v>107.538871525172</v>
      </c>
      <c r="AJ440" s="50" t="str">
        <f t="shared" si="380"/>
        <v>1+776.983581398522i</v>
      </c>
      <c r="AK440" s="50">
        <f t="shared" si="400"/>
        <v>776.98422491249687</v>
      </c>
      <c r="AL440" s="50">
        <f t="shared" si="401"/>
        <v>1.5695092990226325</v>
      </c>
      <c r="AM440" s="50" t="str">
        <f t="shared" si="381"/>
        <v>1+0.938474286551938i</v>
      </c>
      <c r="AN440" s="50">
        <f t="shared" si="402"/>
        <v>1.3713985513041673</v>
      </c>
      <c r="AO440" s="50">
        <f t="shared" si="403"/>
        <v>0.75366956816490283</v>
      </c>
      <c r="AP440" s="50" t="str">
        <f t="shared" si="382"/>
        <v>1-2.69827623613076i</v>
      </c>
      <c r="AQ440" s="50">
        <f t="shared" si="404"/>
        <v>2.8776196146238617</v>
      </c>
      <c r="AR440" s="50">
        <f t="shared" si="405"/>
        <v>-1.2158826250684507</v>
      </c>
      <c r="AS440" s="59" t="str">
        <f t="shared" si="406"/>
        <v>-0.242936817057095-0.489197594925052i</v>
      </c>
      <c r="AT440" s="50">
        <f t="shared" si="407"/>
        <v>-5.2529931029129937</v>
      </c>
      <c r="AU440" s="61">
        <f t="shared" si="408"/>
        <v>-116.40911613694659</v>
      </c>
      <c r="AV440" s="32" t="str">
        <f t="shared" si="383"/>
        <v>-0.0000333333333333333</v>
      </c>
      <c r="AW440" s="32" t="str">
        <f t="shared" si="384"/>
        <v>0.0500519619494366i</v>
      </c>
      <c r="AX440" s="32">
        <f t="shared" si="409"/>
        <v>5.0051961949436598E-2</v>
      </c>
      <c r="AY440" s="32">
        <f t="shared" si="410"/>
        <v>1.5707963267948966</v>
      </c>
      <c r="AZ440" s="32" t="str">
        <f t="shared" si="385"/>
        <v>1+20.420505309232i</v>
      </c>
      <c r="BA440" s="32">
        <f t="shared" si="411"/>
        <v>20.444975839662227</v>
      </c>
      <c r="BB440" s="32">
        <f t="shared" si="412"/>
        <v>1.5218650311738338</v>
      </c>
      <c r="BC440" s="32" t="str">
        <f t="shared" si="386"/>
        <v>1+980.184254843137i</v>
      </c>
      <c r="BD440" s="32">
        <f t="shared" si="413"/>
        <v>980.18476495117795</v>
      </c>
      <c r="BE440" s="32">
        <f t="shared" si="414"/>
        <v>1.5697761108017176</v>
      </c>
      <c r="BF440" s="59" t="str">
        <f t="shared" si="415"/>
        <v>-0.00152914538629068+0.0318918960392749i</v>
      </c>
      <c r="BG440" s="50">
        <f t="shared" si="416"/>
        <v>-29.9164202830774</v>
      </c>
      <c r="BH440" s="61">
        <f t="shared" si="417"/>
        <v>92.745102654592984</v>
      </c>
      <c r="BI440" s="59" t="str">
        <f t="shared" si="418"/>
        <v>-0.00209999561576414-0.00733459131640783i</v>
      </c>
      <c r="BJ440" s="64">
        <f t="shared" si="419"/>
        <v>-42.350306679688941</v>
      </c>
      <c r="BK440" s="61">
        <f t="shared" si="420"/>
        <v>-105.97715461260819</v>
      </c>
      <c r="BL440" s="59" t="str">
        <f t="shared" si="425"/>
        <v>0.0159729245529761-0.00699966146843308i</v>
      </c>
      <c r="BM440" s="64">
        <f t="shared" si="421"/>
        <v>-35.169413385990381</v>
      </c>
      <c r="BN440" s="61">
        <f t="shared" si="426"/>
        <v>-23.664013482353582</v>
      </c>
      <c r="BO440" s="50">
        <f t="shared" si="422"/>
        <v>-42.350306679688941</v>
      </c>
      <c r="BP440" s="61">
        <f t="shared" si="423"/>
        <v>-105.97715461260819</v>
      </c>
    </row>
    <row r="441" spans="14:68" x14ac:dyDescent="0.25">
      <c r="N441" s="11">
        <v>23</v>
      </c>
      <c r="O441" s="51">
        <f t="shared" si="424"/>
        <v>169824.36524617471</v>
      </c>
      <c r="P441" s="49" t="str">
        <f t="shared" si="374"/>
        <v>37.1583961085025</v>
      </c>
      <c r="Q441" s="18" t="str">
        <f t="shared" si="375"/>
        <v>1+836.354933107524i</v>
      </c>
      <c r="R441" s="18">
        <f t="shared" si="387"/>
        <v>836.35553093961835</v>
      </c>
      <c r="S441" s="18">
        <f t="shared" si="388"/>
        <v>1.5696006627485966</v>
      </c>
      <c r="T441" s="18" t="str">
        <f t="shared" si="376"/>
        <v>1+0.960334160864275i</v>
      </c>
      <c r="U441" s="18">
        <f t="shared" si="389"/>
        <v>1.3864493140836023</v>
      </c>
      <c r="V441" s="18">
        <f t="shared" si="390"/>
        <v>0.76516670088585081</v>
      </c>
      <c r="W441" s="32" t="str">
        <f t="shared" si="377"/>
        <v>1-8.4057026522408i</v>
      </c>
      <c r="X441" s="18">
        <f t="shared" si="391"/>
        <v>8.4649770866723575</v>
      </c>
      <c r="Y441" s="18">
        <f t="shared" si="392"/>
        <v>-1.4523860048282875</v>
      </c>
      <c r="Z441" s="32" t="str">
        <f t="shared" si="378"/>
        <v>0.278992124218355+2.02381532419175i</v>
      </c>
      <c r="AA441" s="18">
        <f t="shared" si="393"/>
        <v>2.0429549852625799</v>
      </c>
      <c r="AB441" s="18">
        <f t="shared" si="394"/>
        <v>1.4338052226852886</v>
      </c>
      <c r="AC441" s="32" t="str">
        <f>IMDIV(IMSUM(COMPLEX(0,2*PI()*O441*Constants!$B$61*Constants!$B$62),COMPLEX(1,0)),IMSUM(COMPLEX(0,2*PI()*O441*Constants!$B$61*Constants!$B$62),COMPLEX(2,0)))</f>
        <v>0.909979331296307+0.19211094075556i</v>
      </c>
      <c r="AD441" s="18">
        <f t="shared" si="395"/>
        <v>0.93003709439164861</v>
      </c>
      <c r="AE441" s="18">
        <f t="shared" si="396"/>
        <v>0.20806054802539645</v>
      </c>
      <c r="AF441" s="66" t="str">
        <f t="shared" si="397"/>
        <v>-0.223710527022315+0.0793794002385016i</v>
      </c>
      <c r="AG441" s="64">
        <f t="shared" si="398"/>
        <v>-12.491254319119172</v>
      </c>
      <c r="AH441" s="61">
        <f t="shared" si="399"/>
        <v>160.46374416910078</v>
      </c>
      <c r="AI441" s="50" t="str">
        <f t="shared" si="379"/>
        <v>107.538871525172</v>
      </c>
      <c r="AJ441" s="50" t="str">
        <f t="shared" si="380"/>
        <v>1+795.081853962307i</v>
      </c>
      <c r="AK441" s="50">
        <f t="shared" si="400"/>
        <v>795.08248282812735</v>
      </c>
      <c r="AL441" s="50">
        <f t="shared" si="401"/>
        <v>1.5695385953201808</v>
      </c>
      <c r="AM441" s="50" t="str">
        <f t="shared" si="381"/>
        <v>1+0.960334160864275i</v>
      </c>
      <c r="AN441" s="50">
        <f t="shared" si="402"/>
        <v>1.3864493140836023</v>
      </c>
      <c r="AO441" s="50">
        <f t="shared" si="403"/>
        <v>0.76516670088585081</v>
      </c>
      <c r="AP441" s="50" t="str">
        <f t="shared" si="382"/>
        <v>1-2.76112716367029i</v>
      </c>
      <c r="AQ441" s="50">
        <f t="shared" si="404"/>
        <v>2.93663467492263</v>
      </c>
      <c r="AR441" s="50">
        <f t="shared" si="405"/>
        <v>-1.2233202177006934</v>
      </c>
      <c r="AS441" s="59" t="str">
        <f t="shared" si="406"/>
        <v>-0.242944852413704-0.494203704498118i</v>
      </c>
      <c r="AT441" s="50">
        <f t="shared" si="407"/>
        <v>-5.1818558131915324</v>
      </c>
      <c r="AU441" s="61">
        <f t="shared" si="408"/>
        <v>-116.1782001773045</v>
      </c>
      <c r="AV441" s="32" t="str">
        <f t="shared" si="383"/>
        <v>-0.0000333333333333333</v>
      </c>
      <c r="AW441" s="32" t="str">
        <f t="shared" si="384"/>
        <v>0.0512178219127615i</v>
      </c>
      <c r="AX441" s="32">
        <f t="shared" si="409"/>
        <v>5.1217821912761502E-2</v>
      </c>
      <c r="AY441" s="32">
        <f t="shared" si="410"/>
        <v>1.5707963267948966</v>
      </c>
      <c r="AZ441" s="32" t="str">
        <f t="shared" si="385"/>
        <v>1+20.8961599817689i</v>
      </c>
      <c r="BA441" s="32">
        <f t="shared" si="411"/>
        <v>20.920074139057924</v>
      </c>
      <c r="BB441" s="32">
        <f t="shared" si="412"/>
        <v>1.5229771265521224</v>
      </c>
      <c r="BC441" s="32" t="str">
        <f t="shared" si="386"/>
        <v>1+1003.01567912491i</v>
      </c>
      <c r="BD441" s="32">
        <f t="shared" si="413"/>
        <v>1003.0161776214801</v>
      </c>
      <c r="BE441" s="32">
        <f t="shared" si="414"/>
        <v>1.5697993337373797</v>
      </c>
      <c r="BF441" s="59" t="str">
        <f t="shared" si="415"/>
        <v>-0.00146047976255798+0.0311692338967288i</v>
      </c>
      <c r="BG441" s="50">
        <f t="shared" si="416"/>
        <v>-30.115952839096821</v>
      </c>
      <c r="BH441" s="61">
        <f t="shared" si="417"/>
        <v>92.682714859202363</v>
      </c>
      <c r="BI441" s="59" t="str">
        <f t="shared" si="418"/>
        <v>-0.00214747039522863-0.00708881774953133i</v>
      </c>
      <c r="BJ441" s="64">
        <f t="shared" si="419"/>
        <v>-42.607207158215992</v>
      </c>
      <c r="BK441" s="61">
        <f t="shared" si="420"/>
        <v>-106.85354097169682</v>
      </c>
      <c r="BL441" s="59" t="str">
        <f t="shared" si="425"/>
        <v>0.0157587668984995-0.00685063041988831i</v>
      </c>
      <c r="BM441" s="64">
        <f t="shared" si="421"/>
        <v>-35.297808652288367</v>
      </c>
      <c r="BN441" s="61">
        <f t="shared" si="426"/>
        <v>-23.495485318102176</v>
      </c>
      <c r="BO441" s="50">
        <f t="shared" si="422"/>
        <v>-42.607207158215992</v>
      </c>
      <c r="BP441" s="61">
        <f t="shared" si="423"/>
        <v>-106.85354097169682</v>
      </c>
    </row>
    <row r="442" spans="14:68" x14ac:dyDescent="0.25">
      <c r="N442" s="11">
        <v>24</v>
      </c>
      <c r="O442" s="51">
        <f t="shared" si="424"/>
        <v>173780.0828749378</v>
      </c>
      <c r="P442" s="49" t="str">
        <f t="shared" si="374"/>
        <v>37.1583961085025</v>
      </c>
      <c r="Q442" s="18" t="str">
        <f t="shared" si="375"/>
        <v>1+855.836142108372i</v>
      </c>
      <c r="R442" s="18">
        <f t="shared" si="387"/>
        <v>855.83672633215599</v>
      </c>
      <c r="S442" s="18">
        <f t="shared" si="388"/>
        <v>1.5696278793600329</v>
      </c>
      <c r="T442" s="18" t="str">
        <f t="shared" si="376"/>
        <v>1+0.982703217060235i</v>
      </c>
      <c r="U442" s="18">
        <f t="shared" si="389"/>
        <v>1.402036238055399</v>
      </c>
      <c r="V442" s="18">
        <f t="shared" si="390"/>
        <v>0.77667454605606356</v>
      </c>
      <c r="W442" s="32" t="str">
        <f t="shared" si="377"/>
        <v>1-8.60149661923379i</v>
      </c>
      <c r="X442" s="18">
        <f t="shared" si="391"/>
        <v>8.6594309334211061</v>
      </c>
      <c r="Y442" s="18">
        <f t="shared" si="392"/>
        <v>-1.4550570712179269</v>
      </c>
      <c r="Z442" s="32" t="str">
        <f t="shared" si="378"/>
        <v>0.245012069899494+2.07095603891582i</v>
      </c>
      <c r="AA442" s="18">
        <f t="shared" si="393"/>
        <v>2.0853992014763838</v>
      </c>
      <c r="AB442" s="18">
        <f t="shared" si="394"/>
        <v>1.453035046186717</v>
      </c>
      <c r="AC442" s="32" t="str">
        <f>IMDIV(IMSUM(COMPLEX(0,2*PI()*O442*Constants!$B$61*Constants!$B$62),COMPLEX(1,0)),IMSUM(COMPLEX(0,2*PI()*O442*Constants!$B$61*Constants!$B$62),COMPLEX(2,0)))</f>
        <v>0.913328613654286+0.189271667086675i</v>
      </c>
      <c r="AD442" s="18">
        <f t="shared" si="395"/>
        <v>0.93273411028086084</v>
      </c>
      <c r="AE442" s="18">
        <f t="shared" si="396"/>
        <v>0.20434042589450882</v>
      </c>
      <c r="AF442" s="66" t="str">
        <f t="shared" si="397"/>
        <v>-0.221057027529474+0.0819752297868925i</v>
      </c>
      <c r="AG442" s="64">
        <f t="shared" si="398"/>
        <v>-12.550334227854691</v>
      </c>
      <c r="AH442" s="61">
        <f t="shared" si="399"/>
        <v>159.65355987596399</v>
      </c>
      <c r="AI442" s="50" t="str">
        <f t="shared" si="379"/>
        <v>107.538871525172</v>
      </c>
      <c r="AJ442" s="50" t="str">
        <f t="shared" si="380"/>
        <v>1+813.601689449222i</v>
      </c>
      <c r="AK442" s="50">
        <f t="shared" si="400"/>
        <v>813.60230400031946</v>
      </c>
      <c r="AL442" s="50">
        <f t="shared" si="401"/>
        <v>1.5695672247546673</v>
      </c>
      <c r="AM442" s="50" t="str">
        <f t="shared" si="381"/>
        <v>1+0.982703217060235i</v>
      </c>
      <c r="AN442" s="50">
        <f t="shared" si="402"/>
        <v>1.402036238055399</v>
      </c>
      <c r="AO442" s="50">
        <f t="shared" si="403"/>
        <v>0.77667454605606356</v>
      </c>
      <c r="AP442" s="50" t="str">
        <f t="shared" si="382"/>
        <v>1-2.82544207737985i</v>
      </c>
      <c r="AQ442" s="50">
        <f t="shared" si="404"/>
        <v>2.9971858355178047</v>
      </c>
      <c r="AR442" s="50">
        <f t="shared" si="405"/>
        <v>-1.2306274339865009</v>
      </c>
      <c r="AS442" s="59" t="str">
        <f t="shared" si="406"/>
        <v>-0.242952526120809-0.499471846506909i</v>
      </c>
      <c r="AT442" s="50">
        <f t="shared" si="407"/>
        <v>-5.1074756917063633</v>
      </c>
      <c r="AU442" s="61">
        <f t="shared" si="408"/>
        <v>-115.93916221669333</v>
      </c>
      <c r="AV442" s="32" t="str">
        <f t="shared" si="383"/>
        <v>-0.0000333333333333333</v>
      </c>
      <c r="AW442" s="32" t="str">
        <f t="shared" si="384"/>
        <v>0.0524108382432125i</v>
      </c>
      <c r="AX442" s="32">
        <f t="shared" si="409"/>
        <v>5.24108382432125E-2</v>
      </c>
      <c r="AY442" s="32">
        <f t="shared" si="410"/>
        <v>1.5707963267948966</v>
      </c>
      <c r="AZ442" s="32" t="str">
        <f t="shared" si="385"/>
        <v>1+21.3828940749218i</v>
      </c>
      <c r="BA442" s="32">
        <f t="shared" si="411"/>
        <v>21.406264480738479</v>
      </c>
      <c r="BB442" s="32">
        <f t="shared" si="412"/>
        <v>1.5240640219417827</v>
      </c>
      <c r="BC442" s="32" t="str">
        <f t="shared" si="386"/>
        <v>1+1026.37891559625i</v>
      </c>
      <c r="BD442" s="32">
        <f t="shared" si="413"/>
        <v>1026.3794027456584</v>
      </c>
      <c r="BE442" s="32">
        <f t="shared" si="414"/>
        <v>1.5698220280555273</v>
      </c>
      <c r="BF442" s="59" t="str">
        <f t="shared" si="415"/>
        <v>-0.00139489079437781+0.0304628028694842i</v>
      </c>
      <c r="BG442" s="50">
        <f t="shared" si="416"/>
        <v>-30.315506386548535</v>
      </c>
      <c r="BH442" s="61">
        <f t="shared" si="417"/>
        <v>92.621740629251391</v>
      </c>
      <c r="BI442" s="59" t="str">
        <f t="shared" si="418"/>
        <v>-0.00218884485244539-0.00684836314594125i</v>
      </c>
      <c r="BJ442" s="64">
        <f t="shared" si="419"/>
        <v>-42.865840614403226</v>
      </c>
      <c r="BK442" s="61">
        <f t="shared" si="420"/>
        <v>-107.72469949478462</v>
      </c>
      <c r="BL442" s="59" t="str">
        <f t="shared" si="425"/>
        <v>0.015554204641154-0.00670430622911804i</v>
      </c>
      <c r="BM442" s="64">
        <f t="shared" si="421"/>
        <v>-35.422982078254897</v>
      </c>
      <c r="BN442" s="61">
        <f t="shared" si="426"/>
        <v>-23.317421587441906</v>
      </c>
      <c r="BO442" s="50">
        <f t="shared" si="422"/>
        <v>-42.865840614403226</v>
      </c>
      <c r="BP442" s="61">
        <f t="shared" si="423"/>
        <v>-107.72469949478462</v>
      </c>
    </row>
    <row r="443" spans="14:68" x14ac:dyDescent="0.25">
      <c r="N443" s="11">
        <v>25</v>
      </c>
      <c r="O443" s="51">
        <f t="shared" si="424"/>
        <v>177827.94100389251</v>
      </c>
      <c r="P443" s="49" t="str">
        <f t="shared" si="374"/>
        <v>37.1583961085025</v>
      </c>
      <c r="Q443" s="18" t="str">
        <f t="shared" si="375"/>
        <v>1+875.771126760096i</v>
      </c>
      <c r="R443" s="18">
        <f t="shared" si="387"/>
        <v>875.77169768533167</v>
      </c>
      <c r="S443" s="18">
        <f t="shared" si="388"/>
        <v>1.5696544764474296</v>
      </c>
      <c r="T443" s="18" t="str">
        <f t="shared" si="376"/>
        <v>1+1.00559331550949i</v>
      </c>
      <c r="U443" s="18">
        <f t="shared" si="389"/>
        <v>1.4181741487551409</v>
      </c>
      <c r="V443" s="18">
        <f t="shared" si="390"/>
        <v>0.78818701443978267</v>
      </c>
      <c r="W443" s="32" t="str">
        <f t="shared" si="377"/>
        <v>1-8.80185121358857i</v>
      </c>
      <c r="X443" s="18">
        <f t="shared" si="391"/>
        <v>8.8584753082091172</v>
      </c>
      <c r="Y443" s="18">
        <f t="shared" si="392"/>
        <v>-1.4576689406812335</v>
      </c>
      <c r="Z443" s="32" t="str">
        <f t="shared" si="378"/>
        <v>0.209430584957897+2.11919480194408i</v>
      </c>
      <c r="AA443" s="18">
        <f t="shared" si="393"/>
        <v>2.1295182033743254</v>
      </c>
      <c r="AB443" s="18">
        <f t="shared" si="394"/>
        <v>1.4722906340179012</v>
      </c>
      <c r="AC443" s="32" t="str">
        <f>IMDIV(IMSUM(COMPLEX(0,2*PI()*O443*Constants!$B$61*Constants!$B$62),COMPLEX(1,0)),IMSUM(COMPLEX(0,2*PI()*O443*Constants!$B$61*Constants!$B$62),COMPLEX(2,0)))</f>
        <v>0.91657863936192+0.186417694729689i</v>
      </c>
      <c r="AD443" s="18">
        <f t="shared" si="395"/>
        <v>0.93534376517026085</v>
      </c>
      <c r="AE443" s="18">
        <f t="shared" si="396"/>
        <v>0.20064755578064844</v>
      </c>
      <c r="AF443" s="66" t="str">
        <f t="shared" si="397"/>
        <v>-0.218348257303627+0.084485043981582i</v>
      </c>
      <c r="AG443" s="64">
        <f t="shared" si="398"/>
        <v>-12.611110072509677</v>
      </c>
      <c r="AH443" s="61">
        <f t="shared" si="399"/>
        <v>158.84715294180262</v>
      </c>
      <c r="AI443" s="50" t="str">
        <f t="shared" si="379"/>
        <v>107.538871525172</v>
      </c>
      <c r="AJ443" s="50" t="str">
        <f t="shared" si="380"/>
        <v>1+832.552907321175i</v>
      </c>
      <c r="AK443" s="50">
        <f t="shared" si="400"/>
        <v>832.55350788339172</v>
      </c>
      <c r="AL443" s="50">
        <f t="shared" si="401"/>
        <v>1.5695952025056095</v>
      </c>
      <c r="AM443" s="50" t="str">
        <f t="shared" si="381"/>
        <v>1+1.00559331550949i</v>
      </c>
      <c r="AN443" s="50">
        <f t="shared" si="402"/>
        <v>1.4181741487551409</v>
      </c>
      <c r="AO443" s="50">
        <f t="shared" si="403"/>
        <v>0.78818701443978267</v>
      </c>
      <c r="AP443" s="50" t="str">
        <f t="shared" si="382"/>
        <v>1-2.89125507787799i</v>
      </c>
      <c r="AQ443" s="50">
        <f t="shared" si="404"/>
        <v>3.0593064451530938</v>
      </c>
      <c r="AR443" s="50">
        <f t="shared" si="405"/>
        <v>-1.2378050259748301</v>
      </c>
      <c r="AS443" s="59" t="str">
        <f t="shared" si="406"/>
        <v>-0.242959854455223-0.505004814250786i</v>
      </c>
      <c r="AT443" s="50">
        <f t="shared" si="407"/>
        <v>-5.0298826793986029</v>
      </c>
      <c r="AU443" s="61">
        <f t="shared" si="408"/>
        <v>-115.69239510157583</v>
      </c>
      <c r="AV443" s="32" t="str">
        <f t="shared" si="383"/>
        <v>-0.0000333333333333333</v>
      </c>
      <c r="AW443" s="32" t="str">
        <f t="shared" si="384"/>
        <v>0.0536316434938395i</v>
      </c>
      <c r="AX443" s="32">
        <f t="shared" si="409"/>
        <v>5.3631643493839497E-2</v>
      </c>
      <c r="AY443" s="32">
        <f t="shared" si="410"/>
        <v>1.5707963267948966</v>
      </c>
      <c r="AZ443" s="32" t="str">
        <f t="shared" si="385"/>
        <v>1+21.8809656615492i</v>
      </c>
      <c r="BA443" s="32">
        <f t="shared" si="411"/>
        <v>21.903804653116666</v>
      </c>
      <c r="BB443" s="32">
        <f t="shared" si="412"/>
        <v>1.5251262833513379</v>
      </c>
      <c r="BC443" s="32" t="str">
        <f t="shared" si="386"/>
        <v>1+1050.28635175436i</v>
      </c>
      <c r="BD443" s="32">
        <f t="shared" si="413"/>
        <v>1050.2868278148992</v>
      </c>
      <c r="BE443" s="32">
        <f t="shared" si="414"/>
        <v>1.5698442057888953</v>
      </c>
      <c r="BF443" s="59" t="str">
        <f t="shared" si="415"/>
        <v>-0.00133224122038299+0.0297722480183845i</v>
      </c>
      <c r="BG443" s="50">
        <f t="shared" si="416"/>
        <v>-30.515079984790248</v>
      </c>
      <c r="BH443" s="61">
        <f t="shared" si="417"/>
        <v>92.5621482242654</v>
      </c>
      <c r="BI443" s="59" t="str">
        <f t="shared" si="418"/>
        <v>-0.0022244171344851-0.00661327292892375i</v>
      </c>
      <c r="BJ443" s="64">
        <f t="shared" si="419"/>
        <v>-43.126190057299922</v>
      </c>
      <c r="BK443" s="61">
        <f t="shared" si="420"/>
        <v>-108.59069883393195</v>
      </c>
      <c r="BL443" s="59" t="str">
        <f t="shared" si="425"/>
        <v>0.0153588097133561-0.00656067281531475i</v>
      </c>
      <c r="BM443" s="64">
        <f t="shared" si="421"/>
        <v>-35.544962664188851</v>
      </c>
      <c r="BN443" s="61">
        <f t="shared" si="426"/>
        <v>-23.130246877310444</v>
      </c>
      <c r="BO443" s="50">
        <f t="shared" si="422"/>
        <v>-43.126190057299922</v>
      </c>
      <c r="BP443" s="61">
        <f t="shared" si="423"/>
        <v>-108.59069883393195</v>
      </c>
    </row>
    <row r="444" spans="14:68" x14ac:dyDescent="0.25">
      <c r="N444" s="11">
        <v>26</v>
      </c>
      <c r="O444" s="51">
        <f t="shared" si="424"/>
        <v>181970.08586099857</v>
      </c>
      <c r="P444" s="49" t="str">
        <f t="shared" si="374"/>
        <v>37.1583961085025</v>
      </c>
      <c r="Q444" s="18" t="str">
        <f t="shared" si="375"/>
        <v>1+896.170456855419i</v>
      </c>
      <c r="R444" s="18">
        <f t="shared" si="387"/>
        <v>896.17101478481788</v>
      </c>
      <c r="S444" s="18">
        <f t="shared" si="388"/>
        <v>1.5696804681127638</v>
      </c>
      <c r="T444" s="18" t="str">
        <f t="shared" si="376"/>
        <v>1+1.02901659284523i</v>
      </c>
      <c r="U444" s="18">
        <f t="shared" si="389"/>
        <v>1.4348780952926998</v>
      </c>
      <c r="V444" s="18">
        <f t="shared" si="390"/>
        <v>0.79969800456031848</v>
      </c>
      <c r="W444" s="32" t="str">
        <f t="shared" si="377"/>
        <v>1-9.00687266596297i</v>
      </c>
      <c r="X444" s="18">
        <f t="shared" si="391"/>
        <v>9.0622158008331972</v>
      </c>
      <c r="Y444" s="18">
        <f t="shared" si="392"/>
        <v>-1.4602228554464367</v>
      </c>
      <c r="Z444" s="32" t="str">
        <f t="shared" si="378"/>
        <v>0.172172196293527+2.16855719010716i</v>
      </c>
      <c r="AA444" s="18">
        <f t="shared" si="393"/>
        <v>2.1753812428955985</v>
      </c>
      <c r="AB444" s="18">
        <f t="shared" si="394"/>
        <v>1.4915677066763309</v>
      </c>
      <c r="AC444" s="32" t="str">
        <f>IMDIV(IMSUM(COMPLEX(0,2*PI()*O444*Constants!$B$61*Constants!$B$62),COMPLEX(1,0)),IMSUM(COMPLEX(0,2*PI()*O444*Constants!$B$61*Constants!$B$62),COMPLEX(2,0)))</f>
        <v>0.919730462319335+0.183552635940934i</v>
      </c>
      <c r="AD444" s="18">
        <f t="shared" si="395"/>
        <v>0.93786763110739813</v>
      </c>
      <c r="AE444" s="18">
        <f t="shared" si="396"/>
        <v>0.19698418423439115</v>
      </c>
      <c r="AF444" s="66" t="str">
        <f t="shared" si="397"/>
        <v>-0.215587488757132+0.0869083935213333i</v>
      </c>
      <c r="AG444" s="64">
        <f t="shared" si="398"/>
        <v>-12.673567198315737</v>
      </c>
      <c r="AH444" s="61">
        <f t="shared" si="399"/>
        <v>158.04447571063383</v>
      </c>
      <c r="AI444" s="50" t="str">
        <f t="shared" si="379"/>
        <v>107.538871525172</v>
      </c>
      <c r="AJ444" s="50" t="str">
        <f t="shared" si="380"/>
        <v>1+851.94555576472i</v>
      </c>
      <c r="AK444" s="50">
        <f t="shared" si="400"/>
        <v>851.94614265648124</v>
      </c>
      <c r="AL444" s="50">
        <f t="shared" si="401"/>
        <v>1.5696225434070057</v>
      </c>
      <c r="AM444" s="50" t="str">
        <f t="shared" si="381"/>
        <v>1+1.02901659284523i</v>
      </c>
      <c r="AN444" s="50">
        <f t="shared" si="402"/>
        <v>1.4348780952926998</v>
      </c>
      <c r="AO444" s="50">
        <f t="shared" si="403"/>
        <v>0.79969800456031848</v>
      </c>
      <c r="AP444" s="50" t="str">
        <f t="shared" si="382"/>
        <v>1-2.95860106008867i</v>
      </c>
      <c r="AQ444" s="50">
        <f t="shared" si="404"/>
        <v>3.1230306166859458</v>
      </c>
      <c r="AR444" s="50">
        <f t="shared" si="405"/>
        <v>-1.2448538401914342</v>
      </c>
      <c r="AS444" s="59" t="str">
        <f t="shared" si="406"/>
        <v>-0.242966852961184-0.510805541439167i</v>
      </c>
      <c r="AT444" s="50">
        <f t="shared" si="407"/>
        <v>-4.9491083693320714</v>
      </c>
      <c r="AU444" s="61">
        <f t="shared" si="408"/>
        <v>-115.43829777309367</v>
      </c>
      <c r="AV444" s="32" t="str">
        <f t="shared" si="383"/>
        <v>-0.0000333333333333333</v>
      </c>
      <c r="AW444" s="32" t="str">
        <f t="shared" si="384"/>
        <v>0.0548808849517456i</v>
      </c>
      <c r="AX444" s="32">
        <f t="shared" si="409"/>
        <v>5.4880884951745597E-2</v>
      </c>
      <c r="AY444" s="32">
        <f t="shared" si="410"/>
        <v>1.5707963267948966</v>
      </c>
      <c r="AZ444" s="32" t="str">
        <f t="shared" si="385"/>
        <v>1+22.3906388257989i</v>
      </c>
      <c r="BA444" s="32">
        <f t="shared" si="411"/>
        <v>22.412958462179265</v>
      </c>
      <c r="BB444" s="32">
        <f t="shared" si="412"/>
        <v>1.5261644644111525</v>
      </c>
      <c r="BC444" s="32" t="str">
        <f t="shared" si="386"/>
        <v>1+1074.75066363835i</v>
      </c>
      <c r="BD444" s="32">
        <f t="shared" si="413"/>
        <v>1074.751128862433</v>
      </c>
      <c r="BE444" s="32">
        <f t="shared" si="414"/>
        <v>1.5698658786963238</v>
      </c>
      <c r="BF444" s="59" t="str">
        <f t="shared" si="415"/>
        <v>-0.00127239985093605+0.0290972215217086i</v>
      </c>
      <c r="BG444" s="50">
        <f t="shared" si="416"/>
        <v>-30.714672735153329</v>
      </c>
      <c r="BH444" s="61">
        <f t="shared" si="417"/>
        <v>92.503906597293053</v>
      </c>
      <c r="BI444" s="59" t="str">
        <f t="shared" si="418"/>
        <v>-0.00225447928982781-0.00638357914463677i</v>
      </c>
      <c r="BJ444" s="64">
        <f t="shared" si="419"/>
        <v>-43.388239933469066</v>
      </c>
      <c r="BK444" s="61">
        <f t="shared" si="420"/>
        <v>-109.45161769207313</v>
      </c>
      <c r="BL444" s="59" t="str">
        <f t="shared" si="425"/>
        <v>0.015172172981262-0.00641971144825947i</v>
      </c>
      <c r="BM444" s="64">
        <f t="shared" si="421"/>
        <v>-35.663781104485381</v>
      </c>
      <c r="BN444" s="61">
        <f t="shared" si="426"/>
        <v>-22.934391175800553</v>
      </c>
      <c r="BO444" s="50">
        <f t="shared" si="422"/>
        <v>-43.388239933469066</v>
      </c>
      <c r="BP444" s="61">
        <f t="shared" si="423"/>
        <v>-109.45161769207313</v>
      </c>
    </row>
    <row r="445" spans="14:68" x14ac:dyDescent="0.25">
      <c r="N445" s="11">
        <v>27</v>
      </c>
      <c r="O445" s="51">
        <f t="shared" si="424"/>
        <v>186208.71366628664</v>
      </c>
      <c r="P445" s="49" t="str">
        <f t="shared" si="374"/>
        <v>37.1583961085025</v>
      </c>
      <c r="Q445" s="18" t="str">
        <f t="shared" si="375"/>
        <v>1+917.044948389192i</v>
      </c>
      <c r="R445" s="18">
        <f t="shared" si="387"/>
        <v>917.04549361857505</v>
      </c>
      <c r="S445" s="18">
        <f t="shared" si="388"/>
        <v>1.5697058681370197</v>
      </c>
      <c r="T445" s="18" t="str">
        <f t="shared" si="376"/>
        <v>1+1.05298546839914i</v>
      </c>
      <c r="U445" s="18">
        <f t="shared" si="389"/>
        <v>1.4521633505428224</v>
      </c>
      <c r="V445" s="18">
        <f t="shared" si="390"/>
        <v>0.81120141885627528</v>
      </c>
      <c r="W445" s="32" t="str">
        <f t="shared" si="377"/>
        <v>1-9.21666968144497i</v>
      </c>
      <c r="X445" s="18">
        <f t="shared" si="391"/>
        <v>9.2707604875148668</v>
      </c>
      <c r="Y445" s="18">
        <f t="shared" si="392"/>
        <v>-1.4627200362978654</v>
      </c>
      <c r="Z445" s="32" t="str">
        <f t="shared" si="378"/>
        <v>0.133157873868677+2.2190693759967i</v>
      </c>
      <c r="AA445" s="18">
        <f t="shared" si="393"/>
        <v>2.2230609336812184</v>
      </c>
      <c r="AB445" s="18">
        <f t="shared" si="394"/>
        <v>1.5108620149846168</v>
      </c>
      <c r="AC445" s="32" t="str">
        <f>IMDIV(IMSUM(COMPLEX(0,2*PI()*O445*Constants!$B$61*Constants!$B$62),COMPLEX(1,0)),IMSUM(COMPLEX(0,2*PI()*O445*Constants!$B$61*Constants!$B$62),COMPLEX(2,0)))</f>
        <v>0.922785275607441+0.180679961626243i</v>
      </c>
      <c r="AD445" s="18">
        <f t="shared" si="395"/>
        <v>0.94030735050363268</v>
      </c>
      <c r="AE445" s="18">
        <f t="shared" si="396"/>
        <v>0.19335239958385508</v>
      </c>
      <c r="AF445" s="66" t="str">
        <f t="shared" si="397"/>
        <v>-0.212777918096617+0.0892449626659476i</v>
      </c>
      <c r="AG445" s="64">
        <f t="shared" si="398"/>
        <v>-12.737692475886579</v>
      </c>
      <c r="AH445" s="61">
        <f t="shared" si="399"/>
        <v>157.24547119486039</v>
      </c>
      <c r="AI445" s="50" t="str">
        <f t="shared" si="379"/>
        <v>107.538871525172</v>
      </c>
      <c r="AJ445" s="50" t="str">
        <f t="shared" si="380"/>
        <v>1+871.78991701877i</v>
      </c>
      <c r="AK445" s="50">
        <f t="shared" si="400"/>
        <v>871.79049055125279</v>
      </c>
      <c r="AL445" s="50">
        <f t="shared" si="401"/>
        <v>1.5696492619552003</v>
      </c>
      <c r="AM445" s="50" t="str">
        <f t="shared" si="381"/>
        <v>1+1.05298546839914i</v>
      </c>
      <c r="AN445" s="50">
        <f t="shared" si="402"/>
        <v>1.4521633505428224</v>
      </c>
      <c r="AO445" s="50">
        <f t="shared" si="403"/>
        <v>0.81120141885627528</v>
      </c>
      <c r="AP445" s="50" t="str">
        <f t="shared" si="382"/>
        <v>1-3.02751573174314i</v>
      </c>
      <c r="AQ445" s="50">
        <f t="shared" si="404"/>
        <v>3.1883932483230799</v>
      </c>
      <c r="AR445" s="50">
        <f t="shared" si="405"/>
        <v>-1.2517748112910172</v>
      </c>
      <c r="AS445" s="59" t="str">
        <f t="shared" si="406"/>
        <v>-0.242973536483338-0.516877103747286i</v>
      </c>
      <c r="AT445" s="50">
        <f t="shared" si="407"/>
        <v>-4.8651859979677035</v>
      </c>
      <c r="AU445" s="61">
        <f t="shared" si="408"/>
        <v>-115.17727397812911</v>
      </c>
      <c r="AV445" s="32" t="str">
        <f t="shared" si="383"/>
        <v>-0.0000333333333333333</v>
      </c>
      <c r="AW445" s="32" t="str">
        <f t="shared" si="384"/>
        <v>0.0561592249812875i</v>
      </c>
      <c r="AX445" s="32">
        <f t="shared" si="409"/>
        <v>5.6159224981287503E-2</v>
      </c>
      <c r="AY445" s="32">
        <f t="shared" si="410"/>
        <v>1.5707963267948966</v>
      </c>
      <c r="AZ445" s="32" t="str">
        <f t="shared" si="385"/>
        <v>1+22.9121838031294i</v>
      </c>
      <c r="BA445" s="32">
        <f t="shared" si="411"/>
        <v>22.933995871378041</v>
      </c>
      <c r="BB445" s="32">
        <f t="shared" si="412"/>
        <v>1.5271791066216949</v>
      </c>
      <c r="BC445" s="32" t="str">
        <f t="shared" si="386"/>
        <v>1+1099.78482255021i</v>
      </c>
      <c r="BD445" s="32">
        <f t="shared" si="413"/>
        <v>1099.7852771845041</v>
      </c>
      <c r="BE445" s="32">
        <f t="shared" si="414"/>
        <v>1.5698870582689941</v>
      </c>
      <c r="BF445" s="59" t="str">
        <f t="shared" si="415"/>
        <v>-0.00121524130412314+0.0284373825765424i</v>
      </c>
      <c r="BG445" s="50">
        <f t="shared" si="416"/>
        <v>-30.914283779085817</v>
      </c>
      <c r="BH445" s="61">
        <f t="shared" si="417"/>
        <v>92.446985381039042</v>
      </c>
      <c r="BI445" s="59" t="str">
        <f t="shared" si="418"/>
        <v>-0.00227931663168446-0.00615930122557029i</v>
      </c>
      <c r="BJ445" s="64">
        <f t="shared" si="419"/>
        <v>-43.651976254972389</v>
      </c>
      <c r="BK445" s="61">
        <f t="shared" si="420"/>
        <v>-110.3075434241006</v>
      </c>
      <c r="BL445" s="59" t="str">
        <f t="shared" si="425"/>
        <v>0.0149939034216602-0.00628140100732292i</v>
      </c>
      <c r="BM445" s="64">
        <f t="shared" si="421"/>
        <v>-35.779469777053521</v>
      </c>
      <c r="BN445" s="61">
        <f t="shared" si="426"/>
        <v>-22.730288597090048</v>
      </c>
      <c r="BO445" s="50">
        <f t="shared" si="422"/>
        <v>-43.651976254972389</v>
      </c>
      <c r="BP445" s="61">
        <f t="shared" si="423"/>
        <v>-110.3075434241006</v>
      </c>
    </row>
    <row r="446" spans="14:68" x14ac:dyDescent="0.25">
      <c r="N446" s="11">
        <v>28</v>
      </c>
      <c r="O446" s="51">
        <f t="shared" si="424"/>
        <v>190546.07179632492</v>
      </c>
      <c r="P446" s="49" t="str">
        <f t="shared" si="374"/>
        <v>37.1583961085025</v>
      </c>
      <c r="Q446" s="18" t="str">
        <f t="shared" si="375"/>
        <v>1+938.405669293133i</v>
      </c>
      <c r="R446" s="18">
        <f t="shared" si="387"/>
        <v>938.40620211158716</v>
      </c>
      <c r="S446" s="18">
        <f t="shared" si="388"/>
        <v>1.5697306899874954</v>
      </c>
      <c r="T446" s="18" t="str">
        <f t="shared" si="376"/>
        <v>1+1.07751265078632i</v>
      </c>
      <c r="U446" s="18">
        <f t="shared" si="389"/>
        <v>1.4700454117490933</v>
      </c>
      <c r="V446" s="18">
        <f t="shared" si="390"/>
        <v>0.82269117981252837</v>
      </c>
      <c r="W446" s="32" t="str">
        <f t="shared" si="377"/>
        <v>1-9.43135349718921i</v>
      </c>
      <c r="X446" s="18">
        <f t="shared" si="391"/>
        <v>9.4842199884304215</v>
      </c>
      <c r="Y446" s="18">
        <f t="shared" si="392"/>
        <v>-1.4651616826285745</v>
      </c>
      <c r="Z446" s="32" t="str">
        <f t="shared" si="378"/>
        <v>0.092304863074737+2.27075814184227i</v>
      </c>
      <c r="AA446" s="18">
        <f t="shared" si="393"/>
        <v>2.2726334342542365</v>
      </c>
      <c r="AB446" s="18">
        <f t="shared" si="394"/>
        <v>1.5301693348170717</v>
      </c>
      <c r="AC446" s="32" t="str">
        <f>IMDIV(IMSUM(COMPLEX(0,2*PI()*O446*Constants!$B$61*Constants!$B$62),COMPLEX(1,0)),IMSUM(COMPLEX(0,2*PI()*O446*Constants!$B$61*Constants!$B$62),COMPLEX(2,0)))</f>
        <v>0.925744399338892+0.177802998009066i</v>
      </c>
      <c r="AD446" s="18">
        <f t="shared" si="395"/>
        <v>0.94266462700598763</v>
      </c>
      <c r="AE446" s="18">
        <f t="shared" si="396"/>
        <v>0.18975413606910427</v>
      </c>
      <c r="AF446" s="66" t="str">
        <f t="shared" si="397"/>
        <v>-0.20992266166418+0.0914945555609014i</v>
      </c>
      <c r="AG446" s="64">
        <f t="shared" si="398"/>
        <v>-12.803474408864394</v>
      </c>
      <c r="AH446" s="61">
        <f t="shared" si="399"/>
        <v>156.45007453510257</v>
      </c>
      <c r="AI446" s="50" t="str">
        <f t="shared" si="379"/>
        <v>107.538871525172</v>
      </c>
      <c r="AJ446" s="50" t="str">
        <f t="shared" si="380"/>
        <v>1+892.096512826334i</v>
      </c>
      <c r="AK446" s="50">
        <f t="shared" si="400"/>
        <v>892.09707330363187</v>
      </c>
      <c r="AL446" s="50">
        <f t="shared" si="401"/>
        <v>1.5696753723165684</v>
      </c>
      <c r="AM446" s="50" t="str">
        <f t="shared" si="381"/>
        <v>1+1.07751265078632i</v>
      </c>
      <c r="AN446" s="50">
        <f t="shared" si="402"/>
        <v>1.4700454117490933</v>
      </c>
      <c r="AO446" s="50">
        <f t="shared" si="403"/>
        <v>0.82269117981252837</v>
      </c>
      <c r="AP446" s="50" t="str">
        <f t="shared" si="382"/>
        <v>1-3.09803563231252i</v>
      </c>
      <c r="AQ446" s="50">
        <f t="shared" si="404"/>
        <v>3.2554300451826692</v>
      </c>
      <c r="AR446" s="50">
        <f t="shared" si="405"/>
        <v>-1.2585689558687074</v>
      </c>
      <c r="AS446" s="59" t="str">
        <f t="shared" si="406"/>
        <v>-0.242979919198219-0.523222720447218i</v>
      </c>
      <c r="AT446" s="50">
        <f t="shared" si="407"/>
        <v>-4.7781504291522143</v>
      </c>
      <c r="AU446" s="61">
        <f t="shared" si="408"/>
        <v>-114.90973099093296</v>
      </c>
      <c r="AV446" s="32" t="str">
        <f t="shared" si="383"/>
        <v>-0.0000333333333333333</v>
      </c>
      <c r="AW446" s="32" t="str">
        <f t="shared" si="384"/>
        <v>0.0574673413752699i</v>
      </c>
      <c r="AX446" s="32">
        <f t="shared" si="409"/>
        <v>5.7467341375269897E-2</v>
      </c>
      <c r="AY446" s="32">
        <f t="shared" si="410"/>
        <v>1.5707963267948966</v>
      </c>
      <c r="AZ446" s="32" t="str">
        <f t="shared" si="385"/>
        <v>1+23.4458771235911i</v>
      </c>
      <c r="BA446" s="32">
        <f t="shared" si="411"/>
        <v>23.467193144782623</v>
      </c>
      <c r="BB446" s="32">
        <f t="shared" si="412"/>
        <v>1.5281707395983541</v>
      </c>
      <c r="BC446" s="32" t="str">
        <f t="shared" si="386"/>
        <v>1+1125.40210193238i</v>
      </c>
      <c r="BD446" s="32">
        <f t="shared" si="413"/>
        <v>1125.4025462179384</v>
      </c>
      <c r="BE446" s="32">
        <f t="shared" si="414"/>
        <v>1.5699077557365195</v>
      </c>
      <c r="BF446" s="59" t="str">
        <f t="shared" si="415"/>
        <v>-0.00116064575282333+0.0277923972982571i</v>
      </c>
      <c r="BG446" s="50">
        <f t="shared" si="416"/>
        <v>-31.113912296375176</v>
      </c>
      <c r="BH446" s="61">
        <f t="shared" si="417"/>
        <v>92.391354874186277</v>
      </c>
      <c r="BI446" s="59" t="str">
        <f t="shared" si="418"/>
        <v>-0.00229920719309413-0.00594044678219671i</v>
      </c>
      <c r="BJ446" s="64">
        <f t="shared" si="419"/>
        <v>-43.917386705239579</v>
      </c>
      <c r="BK446" s="61">
        <f t="shared" si="420"/>
        <v>-111.15857059071114</v>
      </c>
      <c r="BL446" s="59" t="str">
        <f t="shared" si="425"/>
        <v>0.0148236273333828-0.00614571822158758i</v>
      </c>
      <c r="BM446" s="64">
        <f t="shared" si="421"/>
        <v>-35.892062725527374</v>
      </c>
      <c r="BN446" s="61">
        <f t="shared" si="426"/>
        <v>-22.518376116746623</v>
      </c>
      <c r="BO446" s="50">
        <f t="shared" si="422"/>
        <v>-43.917386705239579</v>
      </c>
      <c r="BP446" s="61">
        <f t="shared" si="423"/>
        <v>-111.15857059071114</v>
      </c>
    </row>
    <row r="447" spans="14:68" x14ac:dyDescent="0.25">
      <c r="N447" s="11">
        <v>29</v>
      </c>
      <c r="O447" s="51">
        <f t="shared" si="424"/>
        <v>194984.45997580473</v>
      </c>
      <c r="P447" s="49" t="str">
        <f t="shared" si="374"/>
        <v>37.1583961085025</v>
      </c>
      <c r="Q447" s="18" t="str">
        <f t="shared" si="375"/>
        <v>1+960.263945304188i</v>
      </c>
      <c r="R447" s="18">
        <f t="shared" si="387"/>
        <v>960.2644659942199</v>
      </c>
      <c r="S447" s="18">
        <f t="shared" si="388"/>
        <v>1.5697549468249421</v>
      </c>
      <c r="T447" s="18" t="str">
        <f t="shared" si="376"/>
        <v>1+1.10261114464349i</v>
      </c>
      <c r="U447" s="18">
        <f t="shared" si="389"/>
        <v>1.4885400015760504</v>
      </c>
      <c r="V447" s="18">
        <f t="shared" si="390"/>
        <v>0.83416124596192387</v>
      </c>
      <c r="W447" s="32" t="str">
        <f t="shared" si="377"/>
        <v>1-9.65103794139624i</v>
      </c>
      <c r="X447" s="18">
        <f t="shared" si="391"/>
        <v>9.7027075265757521</v>
      </c>
      <c r="Y447" s="18">
        <f t="shared" si="392"/>
        <v>-1.4675489725186699</v>
      </c>
      <c r="Z447" s="32" t="str">
        <f t="shared" si="378"/>
        <v>0.049526509198603+2.32365089371164i</v>
      </c>
      <c r="AA447" s="18">
        <f t="shared" si="393"/>
        <v>2.3241786400705737</v>
      </c>
      <c r="AB447" s="18">
        <f t="shared" si="394"/>
        <v>1.5494854613941231</v>
      </c>
      <c r="AC447" s="32" t="str">
        <f>IMDIV(IMSUM(COMPLEX(0,2*PI()*O447*Constants!$B$61*Constants!$B$62),COMPLEX(1,0)),IMSUM(COMPLEX(0,2*PI()*O447*Constants!$B$61*Constants!$B$62),COMPLEX(2,0)))</f>
        <v>0.928609268745895+0.174924924233389i</v>
      </c>
      <c r="AD447" s="18">
        <f t="shared" si="395"/>
        <v>0.94494121675310727</v>
      </c>
      <c r="AE447" s="18">
        <f t="shared" si="396"/>
        <v>0.18619117827242301</v>
      </c>
      <c r="AF447" s="66" t="str">
        <f t="shared" si="397"/>
        <v>-0.207024753931042+0.0936570829846165i</v>
      </c>
      <c r="AG447" s="64">
        <f t="shared" si="398"/>
        <v>-12.870903218997487</v>
      </c>
      <c r="AH447" s="61">
        <f t="shared" si="399"/>
        <v>155.65821449287353</v>
      </c>
      <c r="AI447" s="50" t="str">
        <f t="shared" si="379"/>
        <v>107.538871525172</v>
      </c>
      <c r="AJ447" s="50" t="str">
        <f t="shared" si="380"/>
        <v>1+912.87611001328i</v>
      </c>
      <c r="AK447" s="50">
        <f t="shared" si="400"/>
        <v>912.87665773256481</v>
      </c>
      <c r="AL447" s="50">
        <f t="shared" si="401"/>
        <v>1.569700888335027</v>
      </c>
      <c r="AM447" s="50" t="str">
        <f t="shared" si="381"/>
        <v>1+1.10261114464349i</v>
      </c>
      <c r="AN447" s="50">
        <f t="shared" si="402"/>
        <v>1.4885400015760504</v>
      </c>
      <c r="AO447" s="50">
        <f t="shared" si="403"/>
        <v>0.83416124596192387</v>
      </c>
      <c r="AP447" s="50" t="str">
        <f t="shared" si="382"/>
        <v>1-3.17019815238146i</v>
      </c>
      <c r="AQ447" s="50">
        <f t="shared" si="404"/>
        <v>3.324177541191629</v>
      </c>
      <c r="AR447" s="50">
        <f t="shared" si="405"/>
        <v>-1.2652373664444656</v>
      </c>
      <c r="AS447" s="59" t="str">
        <f t="shared" si="406"/>
        <v>-0.242986014644316-0.529845756114995i</v>
      </c>
      <c r="AT447" s="50">
        <f t="shared" si="407"/>
        <v>-4.688038130684224</v>
      </c>
      <c r="AU447" s="61">
        <f t="shared" si="408"/>
        <v>-114.6360783520557</v>
      </c>
      <c r="AV447" s="32" t="str">
        <f t="shared" si="383"/>
        <v>-0.0000333333333333333</v>
      </c>
      <c r="AW447" s="32" t="str">
        <f t="shared" si="384"/>
        <v>0.0588059277143195i</v>
      </c>
      <c r="AX447" s="32">
        <f t="shared" si="409"/>
        <v>5.88059277143195E-2</v>
      </c>
      <c r="AY447" s="32">
        <f t="shared" si="410"/>
        <v>1.5707963267948966</v>
      </c>
      <c r="AZ447" s="32" t="str">
        <f t="shared" si="385"/>
        <v>1+23.9920017584463i</v>
      </c>
      <c r="BA447" s="32">
        <f t="shared" si="411"/>
        <v>24.012832993574296</v>
      </c>
      <c r="BB447" s="32">
        <f t="shared" si="412"/>
        <v>1.529139881312749</v>
      </c>
      <c r="BC447" s="32" t="str">
        <f t="shared" si="386"/>
        <v>1+1151.61608440542i</v>
      </c>
      <c r="BD447" s="32">
        <f t="shared" si="413"/>
        <v>1151.6165185778082</v>
      </c>
      <c r="BE447" s="32">
        <f t="shared" si="414"/>
        <v>1.5699279820729006</v>
      </c>
      <c r="BF447" s="59" t="str">
        <f t="shared" si="415"/>
        <v>-0.00110849868242419+0.0271619386183953i</v>
      </c>
      <c r="BG447" s="50">
        <f t="shared" si="416"/>
        <v>-31.31355750345007</v>
      </c>
      <c r="BH447" s="61">
        <f t="shared" si="417"/>
        <v>92.336986027911038</v>
      </c>
      <c r="BI447" s="59" t="str">
        <f t="shared" si="418"/>
        <v>-0.00231442127224436-0.00572701241185149i</v>
      </c>
      <c r="BJ447" s="64">
        <f t="shared" si="419"/>
        <v>-44.184460722447561</v>
      </c>
      <c r="BK447" s="61">
        <f t="shared" si="420"/>
        <v>-112.00479947921548</v>
      </c>
      <c r="BL447" s="59" t="str">
        <f t="shared" si="425"/>
        <v>0.0146609875818935-0.00601263789235589i</v>
      </c>
      <c r="BM447" s="64">
        <f t="shared" si="421"/>
        <v>-36.001595634134283</v>
      </c>
      <c r="BN447" s="61">
        <f t="shared" si="426"/>
        <v>-22.299092324144631</v>
      </c>
      <c r="BO447" s="50">
        <f t="shared" si="422"/>
        <v>-44.184460722447561</v>
      </c>
      <c r="BP447" s="61">
        <f t="shared" si="423"/>
        <v>-112.00479947921548</v>
      </c>
    </row>
    <row r="448" spans="14:68" x14ac:dyDescent="0.25">
      <c r="N448" s="11">
        <v>30</v>
      </c>
      <c r="O448" s="51">
        <f t="shared" si="424"/>
        <v>199526.23149688813</v>
      </c>
      <c r="P448" s="49" t="str">
        <f t="shared" si="374"/>
        <v>37.1583961085025</v>
      </c>
      <c r="Q448" s="18" t="str">
        <f t="shared" si="375"/>
        <v>1+982.631365969647i</v>
      </c>
      <c r="R448" s="18">
        <f t="shared" si="387"/>
        <v>982.63187480733325</v>
      </c>
      <c r="S448" s="18">
        <f t="shared" si="388"/>
        <v>1.5697786515105419</v>
      </c>
      <c r="T448" s="18" t="str">
        <f t="shared" si="376"/>
        <v>1+1.12829425752435i</v>
      </c>
      <c r="U448" s="18">
        <f t="shared" si="389"/>
        <v>1.5076630696420286</v>
      </c>
      <c r="V448" s="18">
        <f t="shared" si="390"/>
        <v>0.84560562765543257</v>
      </c>
      <c r="W448" s="32" t="str">
        <f t="shared" si="377"/>
        <v>1-9.87583949366646i</v>
      </c>
      <c r="X448" s="18">
        <f t="shared" si="391"/>
        <v>9.9263389879986565</v>
      </c>
      <c r="Y448" s="18">
        <f t="shared" si="392"/>
        <v>-1.4698830628371833</v>
      </c>
      <c r="Z448" s="32" t="str">
        <f t="shared" si="378"/>
        <v>0.00473207361625905+2.37777567604204i</v>
      </c>
      <c r="AA448" s="18">
        <f t="shared" si="393"/>
        <v>2.3777803847491654</v>
      </c>
      <c r="AB448" s="18">
        <f t="shared" si="394"/>
        <v>1.568806203245116</v>
      </c>
      <c r="AC448" s="32" t="str">
        <f>IMDIV(IMSUM(COMPLEX(0,2*PI()*O448*Constants!$B$61*Constants!$B$62),COMPLEX(1,0)),IMSUM(COMPLEX(0,2*PI()*O448*Constants!$B$61*Constants!$B$62),COMPLEX(2,0)))</f>
        <v>0.931381422565657+0.172048770841464i</v>
      </c>
      <c r="AD448" s="18">
        <f t="shared" si="395"/>
        <v>0.94713892003680511</v>
      </c>
      <c r="AE448" s="18">
        <f t="shared" si="396"/>
        <v>0.1826651657963041</v>
      </c>
      <c r="AF448" s="66" t="str">
        <f t="shared" si="397"/>
        <v>-0.204087147024637+0.0957325496924102i</v>
      </c>
      <c r="AG448" s="64">
        <f t="shared" si="398"/>
        <v>-12.939970908487837</v>
      </c>
      <c r="AH448" s="61">
        <f t="shared" si="399"/>
        <v>154.86981496183992</v>
      </c>
      <c r="AI448" s="50" t="str">
        <f t="shared" si="379"/>
        <v>107.538871525172</v>
      </c>
      <c r="AJ448" s="50" t="str">
        <f t="shared" si="380"/>
        <v>1+934.139726197106i</v>
      </c>
      <c r="AK448" s="50">
        <f t="shared" si="400"/>
        <v>934.14026144878494</v>
      </c>
      <c r="AL448" s="50">
        <f t="shared" si="401"/>
        <v>1.5697258235393734</v>
      </c>
      <c r="AM448" s="50" t="str">
        <f t="shared" si="381"/>
        <v>1+1.12829425752435i</v>
      </c>
      <c r="AN448" s="50">
        <f t="shared" si="402"/>
        <v>1.5076630696420286</v>
      </c>
      <c r="AO448" s="50">
        <f t="shared" si="403"/>
        <v>0.84560562765543257</v>
      </c>
      <c r="AP448" s="50" t="str">
        <f t="shared" si="382"/>
        <v>1-3.24404155347335i</v>
      </c>
      <c r="AQ448" s="50">
        <f t="shared" si="404"/>
        <v>3.3946731213272634</v>
      </c>
      <c r="AR448" s="50">
        <f t="shared" si="405"/>
        <v>-1.2717812056317737</v>
      </c>
      <c r="AS448" s="59" t="str">
        <f t="shared" si="406"/>
        <v>-0.24299183575079-0.5367497224148i</v>
      </c>
      <c r="AT448" s="50">
        <f t="shared" si="407"/>
        <v>-4.594887143413569</v>
      </c>
      <c r="AU448" s="61">
        <f t="shared" si="408"/>
        <v>-114.35672663109641</v>
      </c>
      <c r="AV448" s="32" t="str">
        <f t="shared" si="383"/>
        <v>-0.0000333333333333333</v>
      </c>
      <c r="AW448" s="32" t="str">
        <f t="shared" si="384"/>
        <v>0.0601756937346317i</v>
      </c>
      <c r="AX448" s="32">
        <f t="shared" si="409"/>
        <v>6.0175693734631698E-2</v>
      </c>
      <c r="AY448" s="32">
        <f t="shared" si="410"/>
        <v>1.5707963267948966</v>
      </c>
      <c r="AZ448" s="32" t="str">
        <f t="shared" si="385"/>
        <v>1+24.5508472702057i</v>
      </c>
      <c r="BA448" s="32">
        <f t="shared" si="411"/>
        <v>24.571204725958527</v>
      </c>
      <c r="BB448" s="32">
        <f t="shared" si="412"/>
        <v>1.5300870383304768</v>
      </c>
      <c r="BC448" s="32" t="str">
        <f t="shared" si="386"/>
        <v>1+1178.44066896987i</v>
      </c>
      <c r="BD448" s="32">
        <f t="shared" si="413"/>
        <v>1178.4410932592918</v>
      </c>
      <c r="BE448" s="32">
        <f t="shared" si="414"/>
        <v>1.5699477480023423</v>
      </c>
      <c r="BF448" s="59" t="str">
        <f t="shared" si="415"/>
        <v>-0.00105869065876897+0.0265456861812633i</v>
      </c>
      <c r="BG448" s="50">
        <f t="shared" si="416"/>
        <v>-31.513218651754219</v>
      </c>
      <c r="BH448" s="61">
        <f t="shared" si="417"/>
        <v>92.283850432594193</v>
      </c>
      <c r="BI448" s="59" t="str">
        <f t="shared" si="418"/>
        <v>-0.00232522106533712-0.00551898451464485i</v>
      </c>
      <c r="BJ448" s="64">
        <f t="shared" si="419"/>
        <v>-44.453189560242052</v>
      </c>
      <c r="BK448" s="61">
        <f t="shared" si="420"/>
        <v>-112.84633460556584</v>
      </c>
      <c r="BL448" s="59" t="str">
        <f t="shared" si="425"/>
        <v>0.01450564287577-0.00588213309923216i</v>
      </c>
      <c r="BM448" s="64">
        <f t="shared" si="421"/>
        <v>-36.108105795167759</v>
      </c>
      <c r="BN448" s="61">
        <f t="shared" si="426"/>
        <v>-22.072876198502144</v>
      </c>
      <c r="BO448" s="50">
        <f t="shared" si="422"/>
        <v>-44.453189560242052</v>
      </c>
      <c r="BP448" s="61">
        <f t="shared" si="423"/>
        <v>-112.84633460556584</v>
      </c>
    </row>
    <row r="449" spans="14:68" x14ac:dyDescent="0.25">
      <c r="N449" s="11">
        <v>31</v>
      </c>
      <c r="O449" s="51">
        <f t="shared" si="424"/>
        <v>204173.79446695308</v>
      </c>
      <c r="P449" s="49" t="str">
        <f t="shared" si="374"/>
        <v>37.1583961085025</v>
      </c>
      <c r="Q449" s="18" t="str">
        <f t="shared" si="375"/>
        <v>1+1005.519790792i</v>
      </c>
      <c r="R449" s="18">
        <f t="shared" si="387"/>
        <v>1005.5202880471321</v>
      </c>
      <c r="S449" s="18">
        <f t="shared" si="388"/>
        <v>1.5698018166127263</v>
      </c>
      <c r="T449" s="18" t="str">
        <f t="shared" si="376"/>
        <v>1+1.15457560695528i</v>
      </c>
      <c r="U449" s="18">
        <f t="shared" si="389"/>
        <v>1.527430794561951</v>
      </c>
      <c r="V449" s="18">
        <f t="shared" si="390"/>
        <v>0.85701840250089489</v>
      </c>
      <c r="W449" s="32" t="str">
        <f t="shared" si="377"/>
        <v>1-10.1058773467584i</v>
      </c>
      <c r="X449" s="18">
        <f t="shared" si="391"/>
        <v>10.155232983429014</v>
      </c>
      <c r="Y449" s="18">
        <f t="shared" si="392"/>
        <v>-1.4721650893654512</v>
      </c>
      <c r="Z449" s="32" t="str">
        <f t="shared" si="378"/>
        <v>-0.04217345867583+2.43316118650945i</v>
      </c>
      <c r="AA449" s="18">
        <f t="shared" si="393"/>
        <v>2.4335266507997719</v>
      </c>
      <c r="AB449" s="18">
        <f t="shared" si="394"/>
        <v>1.5881273759437935</v>
      </c>
      <c r="AC449" s="32" t="str">
        <f>IMDIV(IMSUM(COMPLEX(0,2*PI()*O449*Constants!$B$61*Constants!$B$62),COMPLEX(1,0)),IMSUM(COMPLEX(0,2*PI()*O449*Constants!$B$61*Constants!$B$62),COMPLEX(2,0)))</f>
        <v>0.934062491775958+0.169177419064204i</v>
      </c>
      <c r="AD449" s="18">
        <f t="shared" si="395"/>
        <v>0.94925957338545552</v>
      </c>
      <c r="AE449" s="18">
        <f t="shared" si="396"/>
        <v>0.17917759814374201</v>
      </c>
      <c r="AF449" s="66" t="str">
        <f t="shared" si="397"/>
        <v>-0.201112711653923+0.0977210425106999i</v>
      </c>
      <c r="AG449" s="64">
        <f t="shared" si="398"/>
        <v>-13.010671299667521</v>
      </c>
      <c r="AH449" s="61">
        <f t="shared" si="399"/>
        <v>154.08479648348833</v>
      </c>
      <c r="AI449" s="50" t="str">
        <f t="shared" si="379"/>
        <v>107.538871525172</v>
      </c>
      <c r="AJ449" s="50" t="str">
        <f t="shared" si="380"/>
        <v>1+955.898635628558i</v>
      </c>
      <c r="AK449" s="50">
        <f t="shared" si="400"/>
        <v>955.89915869642789</v>
      </c>
      <c r="AL449" s="50">
        <f t="shared" si="401"/>
        <v>1.5697501911504592</v>
      </c>
      <c r="AM449" s="50" t="str">
        <f t="shared" si="381"/>
        <v>1+1.15457560695528i</v>
      </c>
      <c r="AN449" s="50">
        <f t="shared" si="402"/>
        <v>1.527430794561951</v>
      </c>
      <c r="AO449" s="50">
        <f t="shared" si="403"/>
        <v>0.85701840250089489</v>
      </c>
      <c r="AP449" s="50" t="str">
        <f t="shared" si="382"/>
        <v>1-3.31960498833684i</v>
      </c>
      <c r="AQ449" s="50">
        <f t="shared" si="404"/>
        <v>3.4669550442125479</v>
      </c>
      <c r="AR449" s="50">
        <f t="shared" si="405"/>
        <v>-1.2782017004997834</v>
      </c>
      <c r="AS449" s="59" t="str">
        <f t="shared" si="406"/>
        <v>-0.242997394864901-0.543938279961074i</v>
      </c>
      <c r="AT449" s="50">
        <f t="shared" si="407"/>
        <v>-4.4987370429252049</v>
      </c>
      <c r="AU449" s="61">
        <f t="shared" si="408"/>
        <v>-114.07208621951264</v>
      </c>
      <c r="AV449" s="32" t="str">
        <f t="shared" si="383"/>
        <v>-0.0000333333333333333</v>
      </c>
      <c r="AW449" s="32" t="str">
        <f t="shared" si="384"/>
        <v>0.0615773657042815i</v>
      </c>
      <c r="AX449" s="32">
        <f t="shared" si="409"/>
        <v>6.1577365704281503E-2</v>
      </c>
      <c r="AY449" s="32">
        <f t="shared" si="410"/>
        <v>1.5707963267948966</v>
      </c>
      <c r="AZ449" s="32" t="str">
        <f t="shared" si="385"/>
        <v>1+25.1227099661564i</v>
      </c>
      <c r="BA449" s="32">
        <f t="shared" si="411"/>
        <v>25.142604400571035</v>
      </c>
      <c r="BB449" s="32">
        <f t="shared" si="412"/>
        <v>1.5310127060452445</v>
      </c>
      <c r="BC449" s="32" t="str">
        <f t="shared" si="386"/>
        <v>1+1205.89007837551i</v>
      </c>
      <c r="BD449" s="32">
        <f t="shared" si="413"/>
        <v>1205.8904930069286</v>
      </c>
      <c r="BE449" s="32">
        <f t="shared" si="414"/>
        <v>1.5699670640049401</v>
      </c>
      <c r="BF449" s="59" t="str">
        <f t="shared" si="415"/>
        <v>-0.00101111710593297+0.0259433262394805i</v>
      </c>
      <c r="BG449" s="50">
        <f t="shared" si="416"/>
        <v>-31.71289502619317</v>
      </c>
      <c r="BH449" s="61">
        <f t="shared" si="417"/>
        <v>92.231920304732398</v>
      </c>
      <c r="BI449" s="59" t="str">
        <f t="shared" si="418"/>
        <v>-0.00233186038334338-0.00531634010703647i</v>
      </c>
      <c r="BJ449" s="64">
        <f t="shared" si="419"/>
        <v>-44.723566325860695</v>
      </c>
      <c r="BK449" s="61">
        <f t="shared" si="420"/>
        <v>-113.6832832117792</v>
      </c>
      <c r="BL449" s="59" t="str">
        <f t="shared" si="425"/>
        <v>0.0143572670738171-0.00575417539088359i</v>
      </c>
      <c r="BM449" s="64">
        <f t="shared" si="421"/>
        <v>-36.211632069118359</v>
      </c>
      <c r="BN449" s="61">
        <f t="shared" si="426"/>
        <v>-21.840165914780204</v>
      </c>
      <c r="BO449" s="50">
        <f t="shared" si="422"/>
        <v>-44.723566325860695</v>
      </c>
      <c r="BP449" s="61">
        <f t="shared" si="423"/>
        <v>-113.6832832117792</v>
      </c>
    </row>
    <row r="450" spans="14:68" x14ac:dyDescent="0.25">
      <c r="N450" s="11">
        <v>32</v>
      </c>
      <c r="O450" s="51">
        <f t="shared" si="424"/>
        <v>208929.61308540447</v>
      </c>
      <c r="P450" s="49" t="str">
        <f t="shared" si="374"/>
        <v>37.1583961085025</v>
      </c>
      <c r="Q450" s="18" t="str">
        <f t="shared" si="375"/>
        <v>1+1028.94135551707i</v>
      </c>
      <c r="R450" s="18">
        <f t="shared" si="387"/>
        <v>1028.9418414532986</v>
      </c>
      <c r="S450" s="18">
        <f t="shared" si="388"/>
        <v>1.5698244544138393</v>
      </c>
      <c r="T450" s="18" t="str">
        <f t="shared" si="376"/>
        <v>1+1.18146912765564i</v>
      </c>
      <c r="U450" s="18">
        <f t="shared" si="389"/>
        <v>1.5478595865269495</v>
      </c>
      <c r="V450" s="18">
        <f t="shared" si="390"/>
        <v>0.86839373037486967</v>
      </c>
      <c r="W450" s="32" t="str">
        <f t="shared" si="377"/>
        <v>1-10.3412734697867i</v>
      </c>
      <c r="X450" s="18">
        <f t="shared" si="391"/>
        <v>10.389510911342951</v>
      </c>
      <c r="Y450" s="18">
        <f t="shared" si="392"/>
        <v>-1.4743961669401311</v>
      </c>
      <c r="Z450" s="32" t="str">
        <f t="shared" si="378"/>
        <v>-0.0912895806004199+2.48983679124465i</v>
      </c>
      <c r="AA450" s="18">
        <f t="shared" si="393"/>
        <v>2.4915097901797729</v>
      </c>
      <c r="AB450" s="18">
        <f t="shared" si="394"/>
        <v>1.6074447957239999</v>
      </c>
      <c r="AC450" s="32" t="str">
        <f>IMDIV(IMSUM(COMPLEX(0,2*PI()*O450*Constants!$B$61*Constants!$B$62),COMPLEX(1,0)),IMSUM(COMPLEX(0,2*PI()*O450*Constants!$B$61*Constants!$B$62),COMPLEX(2,0)))</f>
        <v>0.936654188725269+0.166313600860879i</v>
      </c>
      <c r="AD450" s="18">
        <f t="shared" si="395"/>
        <v>0.95130504208056388</v>
      </c>
      <c r="AE450" s="18">
        <f t="shared" si="396"/>
        <v>0.17572983975831002</v>
      </c>
      <c r="AF450" s="66" t="str">
        <f t="shared" si="397"/>
        <v>-0.198104239284548+0.0996227193135017i</v>
      </c>
      <c r="AG450" s="64">
        <f t="shared" si="398"/>
        <v>-13.083000052276223</v>
      </c>
      <c r="AH450" s="61">
        <f t="shared" si="399"/>
        <v>153.30307775323351</v>
      </c>
      <c r="AI450" s="50" t="str">
        <f t="shared" si="379"/>
        <v>107.538871525172</v>
      </c>
      <c r="AJ450" s="50" t="str">
        <f t="shared" si="380"/>
        <v>1+978.164375169443i</v>
      </c>
      <c r="AK450" s="50">
        <f t="shared" si="400"/>
        <v>978.16488633084089</v>
      </c>
      <c r="AL450" s="50">
        <f t="shared" si="401"/>
        <v>1.5697740040881987</v>
      </c>
      <c r="AM450" s="50" t="str">
        <f t="shared" si="381"/>
        <v>1+1.18146912765564i</v>
      </c>
      <c r="AN450" s="50">
        <f t="shared" si="402"/>
        <v>1.5478595865269495</v>
      </c>
      <c r="AO450" s="50">
        <f t="shared" si="403"/>
        <v>0.86839373037486967</v>
      </c>
      <c r="AP450" s="50" t="str">
        <f t="shared" si="382"/>
        <v>1-3.39692852170534i</v>
      </c>
      <c r="AQ450" s="50">
        <f t="shared" si="404"/>
        <v>3.5410624650767217</v>
      </c>
      <c r="AR450" s="50">
        <f t="shared" si="405"/>
        <v>-1.284500137136297</v>
      </c>
      <c r="AS450" s="59" t="str">
        <f t="shared" si="406"/>
        <v>-0.243002703778198-0.55141524025963i</v>
      </c>
      <c r="AT450" s="50">
        <f t="shared" si="407"/>
        <v>-4.3996288939462662</v>
      </c>
      <c r="AU450" s="61">
        <f t="shared" si="408"/>
        <v>-113.78256615938946</v>
      </c>
      <c r="AV450" s="32" t="str">
        <f t="shared" si="383"/>
        <v>-0.0000333333333333333</v>
      </c>
      <c r="AW450" s="32" t="str">
        <f t="shared" si="384"/>
        <v>0.0630116868083006i</v>
      </c>
      <c r="AX450" s="32">
        <f t="shared" si="409"/>
        <v>6.3011686808300604E-2</v>
      </c>
      <c r="AY450" s="32">
        <f t="shared" si="410"/>
        <v>1.5707963267948966</v>
      </c>
      <c r="AZ450" s="32" t="str">
        <f t="shared" si="385"/>
        <v>1+25.7078930554699i</v>
      </c>
      <c r="BA450" s="32">
        <f t="shared" si="411"/>
        <v>25.727334983466076</v>
      </c>
      <c r="BB450" s="32">
        <f t="shared" si="412"/>
        <v>1.5319173689093637</v>
      </c>
      <c r="BC450" s="32" t="str">
        <f t="shared" si="386"/>
        <v>1+1233.97886666256i</v>
      </c>
      <c r="BD450" s="32">
        <f t="shared" si="413"/>
        <v>1233.9792718558183</v>
      </c>
      <c r="BE450" s="32">
        <f t="shared" si="414"/>
        <v>1.5699859403222369</v>
      </c>
      <c r="BF450" s="59" t="str">
        <f t="shared" si="415"/>
        <v>-0.000965678093440176+0.0253545515487373i</v>
      </c>
      <c r="BG450" s="50">
        <f t="shared" si="416"/>
        <v>-31.91258594364853</v>
      </c>
      <c r="BH450" s="61">
        <f t="shared" si="417"/>
        <v>92.181168474050011</v>
      </c>
      <c r="BI450" s="59" t="str">
        <f t="shared" si="418"/>
        <v>-0.00233458444816485-0.00511904762461345i</v>
      </c>
      <c r="BJ450" s="64">
        <f t="shared" si="419"/>
        <v>-44.995585995924756</v>
      </c>
      <c r="BK450" s="61">
        <f t="shared" si="420"/>
        <v>-114.51575377271649</v>
      </c>
      <c r="BL450" s="59" t="str">
        <f t="shared" si="425"/>
        <v>0.0142155485216075-0.00562873496151909i</v>
      </c>
      <c r="BM450" s="64">
        <f t="shared" si="421"/>
        <v>-36.312214837594787</v>
      </c>
      <c r="BN450" s="61">
        <f t="shared" si="426"/>
        <v>-21.601397685339453</v>
      </c>
      <c r="BO450" s="50">
        <f t="shared" si="422"/>
        <v>-44.995585995924756</v>
      </c>
      <c r="BP450" s="61">
        <f t="shared" si="423"/>
        <v>-114.51575377271649</v>
      </c>
    </row>
    <row r="451" spans="14:68" x14ac:dyDescent="0.25">
      <c r="N451" s="11">
        <v>33</v>
      </c>
      <c r="O451" s="51">
        <f t="shared" si="424"/>
        <v>213796.20895022334</v>
      </c>
      <c r="P451" s="49" t="str">
        <f t="shared" si="374"/>
        <v>37.1583961085025</v>
      </c>
      <c r="Q451" s="18" t="str">
        <f t="shared" si="375"/>
        <v>1+1052.90847856848i</v>
      </c>
      <c r="R451" s="18">
        <f t="shared" si="387"/>
        <v>1052.9089534434547</v>
      </c>
      <c r="S451" s="18">
        <f t="shared" si="388"/>
        <v>1.5698465769166503</v>
      </c>
      <c r="T451" s="18" t="str">
        <f t="shared" si="376"/>
        <v>1+1.20898907892607i</v>
      </c>
      <c r="U451" s="18">
        <f t="shared" si="389"/>
        <v>1.5689660904438014</v>
      </c>
      <c r="V451" s="18">
        <f t="shared" si="390"/>
        <v>0.8797258679166855</v>
      </c>
      <c r="W451" s="32" t="str">
        <f t="shared" si="377"/>
        <v>1-10.5821526728916i</v>
      </c>
      <c r="X451" s="18">
        <f t="shared" si="391"/>
        <v>10.62929702249339</v>
      </c>
      <c r="Y451" s="18">
        <f t="shared" si="392"/>
        <v>-1.4765773896140491</v>
      </c>
      <c r="Z451" s="32" t="str">
        <f t="shared" si="378"/>
        <v>-0.14272047403719+2.54783254040345i</v>
      </c>
      <c r="AA451" s="18">
        <f t="shared" si="393"/>
        <v>2.5518267550223892</v>
      </c>
      <c r="AB451" s="18">
        <f t="shared" si="394"/>
        <v>1.6267542730840439</v>
      </c>
      <c r="AC451" s="32" t="str">
        <f>IMDIV(IMSUM(COMPLEX(0,2*PI()*O451*Constants!$B$61*Constants!$B$62),COMPLEX(1,0)),IMSUM(COMPLEX(0,2*PI()*O451*Constants!$B$61*Constants!$B$62),COMPLEX(2,0)))</f>
        <v>0.939158296694205+0.163459899644369i</v>
      </c>
      <c r="AD451" s="18">
        <f t="shared" si="395"/>
        <v>0.95327721311342983</v>
      </c>
      <c r="AE451" s="18">
        <f t="shared" si="396"/>
        <v>0.17232312518445875</v>
      </c>
      <c r="AF451" s="66" t="str">
        <f t="shared" si="397"/>
        <v>-0.195064445405477+0.101437798990959i</v>
      </c>
      <c r="AG451" s="64">
        <f t="shared" si="398"/>
        <v>-13.156954658815463</v>
      </c>
      <c r="AH451" s="61">
        <f t="shared" si="399"/>
        <v>152.52457710338285</v>
      </c>
      <c r="AI451" s="50" t="str">
        <f t="shared" si="379"/>
        <v>107.538871525172</v>
      </c>
      <c r="AJ451" s="50" t="str">
        <f t="shared" si="380"/>
        <v>1+1000.94875040957i</v>
      </c>
      <c r="AK451" s="50">
        <f t="shared" si="400"/>
        <v>1000.9492499355199</v>
      </c>
      <c r="AL451" s="50">
        <f t="shared" si="401"/>
        <v>1.5697972749784181</v>
      </c>
      <c r="AM451" s="50" t="str">
        <f t="shared" si="381"/>
        <v>1+1.20898907892607i</v>
      </c>
      <c r="AN451" s="50">
        <f t="shared" si="402"/>
        <v>1.5689660904438014</v>
      </c>
      <c r="AO451" s="50">
        <f t="shared" si="403"/>
        <v>0.8797258679166855</v>
      </c>
      <c r="AP451" s="50" t="str">
        <f t="shared" si="382"/>
        <v>1-3.47605315153969i</v>
      </c>
      <c r="AQ451" s="50">
        <f t="shared" si="404"/>
        <v>3.6170354590920191</v>
      </c>
      <c r="AR451" s="50">
        <f t="shared" si="405"/>
        <v>-1.2906778554170135</v>
      </c>
      <c r="AS451" s="59" t="str">
        <f t="shared" si="406"/>
        <v>-0.243007773751525-0.559184567728738i</v>
      </c>
      <c r="AT451" s="50">
        <f t="shared" si="407"/>
        <v>-4.2976051977034802</v>
      </c>
      <c r="AU451" s="61">
        <f t="shared" si="408"/>
        <v>-113.48857301368263</v>
      </c>
      <c r="AV451" s="32" t="str">
        <f t="shared" si="383"/>
        <v>-0.0000333333333333333</v>
      </c>
      <c r="AW451" s="32" t="str">
        <f t="shared" si="384"/>
        <v>0.0644794175427235i</v>
      </c>
      <c r="AX451" s="32">
        <f t="shared" si="409"/>
        <v>6.4479417542723502E-2</v>
      </c>
      <c r="AY451" s="32">
        <f t="shared" si="410"/>
        <v>1.5707963267948966</v>
      </c>
      <c r="AZ451" s="32" t="str">
        <f t="shared" si="385"/>
        <v>1+26.3067068099654i</v>
      </c>
      <c r="BA451" s="32">
        <f t="shared" si="411"/>
        <v>26.325706508762117</v>
      </c>
      <c r="BB451" s="32">
        <f t="shared" si="412"/>
        <v>1.5328015006605635</v>
      </c>
      <c r="BC451" s="32" t="str">
        <f t="shared" si="386"/>
        <v>1+1262.72192687834i</v>
      </c>
      <c r="BD451" s="32">
        <f t="shared" si="413"/>
        <v>1262.7223228482767</v>
      </c>
      <c r="BE451" s="32">
        <f t="shared" si="414"/>
        <v>1.5700043869626519</v>
      </c>
      <c r="BF451" s="59" t="str">
        <f t="shared" si="415"/>
        <v>-0.000922278132544309+0.0247790612619859i</v>
      </c>
      <c r="BG451" s="50">
        <f t="shared" si="416"/>
        <v>-32.112290751556287</v>
      </c>
      <c r="BH451" s="61">
        <f t="shared" si="417"/>
        <v>92.131568370814719</v>
      </c>
      <c r="BI451" s="59" t="str">
        <f t="shared" si="418"/>
        <v>-0.00233362976304363-0.00492706770656041i</v>
      </c>
      <c r="BJ451" s="64">
        <f t="shared" si="419"/>
        <v>-45.269245410371745</v>
      </c>
      <c r="BK451" s="61">
        <f t="shared" si="420"/>
        <v>-115.3438545258024</v>
      </c>
      <c r="BL451" s="59" t="str">
        <f t="shared" si="425"/>
        <v>0.0140801894162768-0.00550578081405539i</v>
      </c>
      <c r="BM451" s="64">
        <f t="shared" si="421"/>
        <v>-36.40989594925977</v>
      </c>
      <c r="BN451" s="61">
        <f t="shared" si="426"/>
        <v>-21.357004642867928</v>
      </c>
      <c r="BO451" s="50">
        <f t="shared" si="422"/>
        <v>-45.269245410371745</v>
      </c>
      <c r="BP451" s="61">
        <f t="shared" si="423"/>
        <v>-115.3438545258024</v>
      </c>
    </row>
    <row r="452" spans="14:68" x14ac:dyDescent="0.25">
      <c r="N452" s="11">
        <v>34</v>
      </c>
      <c r="O452" s="51">
        <f t="shared" si="424"/>
        <v>218776.16239495538</v>
      </c>
      <c r="P452" s="49" t="str">
        <f t="shared" si="374"/>
        <v>37.1583961085025</v>
      </c>
      <c r="Q452" s="18" t="str">
        <f t="shared" si="375"/>
        <v>1+1077.43386763211i</v>
      </c>
      <c r="R452" s="18">
        <f t="shared" si="387"/>
        <v>1077.4343316976153</v>
      </c>
      <c r="S452" s="18">
        <f t="shared" si="388"/>
        <v>1.5698681958507159</v>
      </c>
      <c r="T452" s="18" t="str">
        <f t="shared" si="376"/>
        <v>1+1.23715005220901i</v>
      </c>
      <c r="U452" s="18">
        <f t="shared" si="389"/>
        <v>1.5907671896543367</v>
      </c>
      <c r="V452" s="18">
        <f t="shared" si="390"/>
        <v>0.89100918242011984</v>
      </c>
      <c r="W452" s="32" t="str">
        <f t="shared" si="377"/>
        <v>1-10.828642673415i</v>
      </c>
      <c r="X452" s="18">
        <f t="shared" si="391"/>
        <v>10.874718485942722</v>
      </c>
      <c r="Y452" s="18">
        <f t="shared" si="392"/>
        <v>-1.4787098308332305</v>
      </c>
      <c r="Z452" s="32" t="str">
        <f t="shared" si="378"/>
        <v>-0.1965752308066+2.60717918409972i</v>
      </c>
      <c r="AA452" s="18">
        <f t="shared" si="393"/>
        <v>2.6145793388936487</v>
      </c>
      <c r="AB452" s="18">
        <f t="shared" si="394"/>
        <v>1.6460516064887689</v>
      </c>
      <c r="AC452" s="32" t="str">
        <f>IMDIV(IMSUM(COMPLEX(0,2*PI()*O452*Constants!$B$61*Constants!$B$62),COMPLEX(1,0)),IMSUM(COMPLEX(0,2*PI()*O452*Constants!$B$61*Constants!$B$62),COMPLEX(2,0)))</f>
        <v>0.94157665991785+0.160618751628571i</v>
      </c>
      <c r="AD452" s="18">
        <f t="shared" si="395"/>
        <v>0.95517798858473235</v>
      </c>
      <c r="AE452" s="18">
        <f t="shared" si="396"/>
        <v>0.16895856431145478</v>
      </c>
      <c r="AF452" s="66" t="str">
        <f t="shared" si="397"/>
        <v>-0.19199597372146+0.103166552497004i</v>
      </c>
      <c r="AG452" s="64">
        <f t="shared" si="398"/>
        <v>-13.232534418654518</v>
      </c>
      <c r="AH452" s="61">
        <f t="shared" si="399"/>
        <v>151.74921394986455</v>
      </c>
      <c r="AI452" s="50" t="str">
        <f t="shared" si="379"/>
        <v>107.538871525172</v>
      </c>
      <c r="AJ452" s="50" t="str">
        <f t="shared" si="380"/>
        <v>1+1024.26384192629i</v>
      </c>
      <c r="AK452" s="50">
        <f t="shared" si="400"/>
        <v>1024.2643300816464</v>
      </c>
      <c r="AL452" s="50">
        <f t="shared" si="401"/>
        <v>1.569820016159551</v>
      </c>
      <c r="AM452" s="50" t="str">
        <f t="shared" si="381"/>
        <v>1+1.23715005220901i</v>
      </c>
      <c r="AN452" s="50">
        <f t="shared" si="402"/>
        <v>1.5907671896543367</v>
      </c>
      <c r="AO452" s="50">
        <f t="shared" si="403"/>
        <v>0.89100918242011984</v>
      </c>
      <c r="AP452" s="50" t="str">
        <f t="shared" si="382"/>
        <v>1-3.557020830766i</v>
      </c>
      <c r="AQ452" s="50">
        <f t="shared" si="404"/>
        <v>3.6949150450995814</v>
      </c>
      <c r="AR452" s="50">
        <f t="shared" si="405"/>
        <v>-1.2967362439849597</v>
      </c>
      <c r="AS452" s="59" t="str">
        <f t="shared" si="406"/>
        <v>-0.243012615538909-0.567250381801278i</v>
      </c>
      <c r="AT452" s="50">
        <f t="shared" si="407"/>
        <v>-4.1927098325374637</v>
      </c>
      <c r="AU452" s="61">
        <f t="shared" si="408"/>
        <v>-113.19050978301077</v>
      </c>
      <c r="AV452" s="32" t="str">
        <f t="shared" si="383"/>
        <v>-0.0000333333333333333</v>
      </c>
      <c r="AW452" s="32" t="str">
        <f t="shared" si="384"/>
        <v>0.0659813361178137i</v>
      </c>
      <c r="AX452" s="32">
        <f t="shared" si="409"/>
        <v>6.5981336117813705E-2</v>
      </c>
      <c r="AY452" s="32">
        <f t="shared" si="410"/>
        <v>1.5707963267948966</v>
      </c>
      <c r="AZ452" s="32" t="str">
        <f t="shared" si="385"/>
        <v>1+26.919468728622i</v>
      </c>
      <c r="BA452" s="32">
        <f t="shared" si="411"/>
        <v>26.938036243038535</v>
      </c>
      <c r="BB452" s="32">
        <f t="shared" si="412"/>
        <v>1.5336655645451187</v>
      </c>
      <c r="BC452" s="32" t="str">
        <f t="shared" si="386"/>
        <v>1+1292.13449897386i</v>
      </c>
      <c r="BD452" s="32">
        <f t="shared" si="413"/>
        <v>1292.1348859304235</v>
      </c>
      <c r="BE452" s="32">
        <f t="shared" si="414"/>
        <v>1.5700224137067877</v>
      </c>
      <c r="BF452" s="59" t="str">
        <f t="shared" si="415"/>
        <v>-0.000880825981210459+0.0242165608232619i</v>
      </c>
      <c r="BG452" s="50">
        <f t="shared" si="416"/>
        <v>-32.312008826549089</v>
      </c>
      <c r="BH452" s="61">
        <f t="shared" si="417"/>
        <v>92.083094013357396</v>
      </c>
      <c r="BI452" s="59" t="str">
        <f t="shared" si="418"/>
        <v>-0.00232922405152828-0.0047403539552784i</v>
      </c>
      <c r="BJ452" s="64">
        <f t="shared" si="419"/>
        <v>-45.544543245203613</v>
      </c>
      <c r="BK452" s="61">
        <f t="shared" si="420"/>
        <v>-116.16769203677809</v>
      </c>
      <c r="BL452" s="59" t="str">
        <f t="shared" si="425"/>
        <v>0.0139509051984378-0.00538528091087583i</v>
      </c>
      <c r="BM452" s="64">
        <f t="shared" si="421"/>
        <v>-36.504718659086535</v>
      </c>
      <c r="BN452" s="61">
        <f t="shared" si="426"/>
        <v>-21.107415769653318</v>
      </c>
      <c r="BO452" s="50">
        <f t="shared" si="422"/>
        <v>-45.544543245203613</v>
      </c>
      <c r="BP452" s="61">
        <f t="shared" si="423"/>
        <v>-116.16769203677809</v>
      </c>
    </row>
    <row r="453" spans="14:68" x14ac:dyDescent="0.25">
      <c r="N453" s="11">
        <v>35</v>
      </c>
      <c r="O453" s="51">
        <f t="shared" si="424"/>
        <v>223872.11385683404</v>
      </c>
      <c r="P453" s="49" t="str">
        <f t="shared" si="374"/>
        <v>37.1583961085025</v>
      </c>
      <c r="Q453" s="18" t="str">
        <f t="shared" si="375"/>
        <v>1+1102.53052639389i</v>
      </c>
      <c r="R453" s="18">
        <f t="shared" si="387"/>
        <v>1102.5309798959793</v>
      </c>
      <c r="S453" s="18">
        <f t="shared" si="388"/>
        <v>1.5698893226786006</v>
      </c>
      <c r="T453" s="18" t="str">
        <f t="shared" si="376"/>
        <v>1+1.26596697882525i</v>
      </c>
      <c r="U453" s="18">
        <f t="shared" si="389"/>
        <v>1.6132800102511438</v>
      </c>
      <c r="V453" s="18">
        <f t="shared" si="390"/>
        <v>0.90223816504480325</v>
      </c>
      <c r="W453" s="32" t="str">
        <f t="shared" si="377"/>
        <v>1-11.080874163618i</v>
      </c>
      <c r="X453" s="18">
        <f t="shared" si="391"/>
        <v>11.125905456633042</v>
      </c>
      <c r="Y453" s="18">
        <f t="shared" si="392"/>
        <v>-1.4807945436285412</v>
      </c>
      <c r="Z453" s="32" t="str">
        <f t="shared" si="378"/>
        <v>-0.25296808406819+2.66790818870951i</v>
      </c>
      <c r="AA453" s="18">
        <f t="shared" si="393"/>
        <v>2.6798744289500558</v>
      </c>
      <c r="AB453" s="18">
        <f t="shared" si="394"/>
        <v>1.6653325762768016</v>
      </c>
      <c r="AC453" s="32" t="str">
        <f>IMDIV(IMSUM(COMPLEX(0,2*PI()*O453*Constants!$B$61*Constants!$B$62),COMPLEX(1,0)),IMSUM(COMPLEX(0,2*PI()*O453*Constants!$B$61*Constants!$B$62),COMPLEX(2,0)))</f>
        <v>0.943911174091679+0.157792447735582i</v>
      </c>
      <c r="AD453" s="18">
        <f t="shared" si="395"/>
        <v>0.95700927954619042</v>
      </c>
      <c r="AE453" s="18">
        <f t="shared" si="396"/>
        <v>0.16563714766740015</v>
      </c>
      <c r="AF453" s="66" t="str">
        <f t="shared" si="397"/>
        <v>-0.188901401101477+0.104809295040581i</v>
      </c>
      <c r="AG453" s="64">
        <f t="shared" si="398"/>
        <v>-13.309740391748379</v>
      </c>
      <c r="AH453" s="61">
        <f t="shared" si="399"/>
        <v>150.97691019026163</v>
      </c>
      <c r="AI453" s="50" t="str">
        <f t="shared" si="379"/>
        <v>107.538871525172</v>
      </c>
      <c r="AJ453" s="50" t="str">
        <f t="shared" si="380"/>
        <v>1+1048.12201168974i</v>
      </c>
      <c r="AK453" s="50">
        <f t="shared" si="400"/>
        <v>1048.1224887333292</v>
      </c>
      <c r="AL453" s="50">
        <f t="shared" si="401"/>
        <v>1.5698422396891785</v>
      </c>
      <c r="AM453" s="50" t="str">
        <f t="shared" si="381"/>
        <v>1+1.26596697882525i</v>
      </c>
      <c r="AN453" s="50">
        <f t="shared" si="402"/>
        <v>1.6132800102511438</v>
      </c>
      <c r="AO453" s="50">
        <f t="shared" si="403"/>
        <v>0.90223816504480325</v>
      </c>
      <c r="AP453" s="50" t="str">
        <f t="shared" si="382"/>
        <v>1-3.63987448951952i</v>
      </c>
      <c r="AQ453" s="50">
        <f t="shared" si="404"/>
        <v>3.7747432097369202</v>
      </c>
      <c r="AR453" s="50">
        <f t="shared" si="405"/>
        <v>-1.302676735442408</v>
      </c>
      <c r="AS453" s="59" t="str">
        <f t="shared" si="406"/>
        <v>-0.243017239410369-0.575616959109072i</v>
      </c>
      <c r="AT453" s="50">
        <f t="shared" si="407"/>
        <v>-4.0849879881549986</v>
      </c>
      <c r="AU453" s="61">
        <f t="shared" si="408"/>
        <v>-112.88877487358958</v>
      </c>
      <c r="AV453" s="32" t="str">
        <f t="shared" si="383"/>
        <v>-0.0000333333333333333</v>
      </c>
      <c r="AW453" s="32" t="str">
        <f t="shared" si="384"/>
        <v>0.0675182388706798i</v>
      </c>
      <c r="AX453" s="32">
        <f t="shared" si="409"/>
        <v>6.75182388706798E-2</v>
      </c>
      <c r="AY453" s="32">
        <f t="shared" si="410"/>
        <v>1.5707963267948966</v>
      </c>
      <c r="AZ453" s="32" t="str">
        <f t="shared" si="385"/>
        <v>1+27.5465037059198i</v>
      </c>
      <c r="BA453" s="32">
        <f t="shared" si="411"/>
        <v>27.564648853563384</v>
      </c>
      <c r="BB453" s="32">
        <f t="shared" si="412"/>
        <v>1.5345100135372673</v>
      </c>
      <c r="BC453" s="32" t="str">
        <f t="shared" si="386"/>
        <v>1+1322.23217788415i</v>
      </c>
      <c r="BD453" s="32">
        <f t="shared" si="413"/>
        <v>1322.2325560325091</v>
      </c>
      <c r="BE453" s="32">
        <f t="shared" si="414"/>
        <v>1.5700400301126161</v>
      </c>
      <c r="BF453" s="59" t="str">
        <f t="shared" si="415"/>
        <v>-0.000841234457446766+0.023666761861333i</v>
      </c>
      <c r="BG453" s="50">
        <f t="shared" si="416"/>
        <v>-32.511739573157229</v>
      </c>
      <c r="BH453" s="61">
        <f t="shared" si="417"/>
        <v>92.035719995797336</v>
      </c>
      <c r="BI453" s="59" t="str">
        <f t="shared" si="418"/>
        <v>-0.00232158625891309-0.00455885366558964i</v>
      </c>
      <c r="BJ453" s="64">
        <f t="shared" si="419"/>
        <v>-45.821479964905613</v>
      </c>
      <c r="BK453" s="61">
        <f t="shared" si="420"/>
        <v>-116.98736981394107</v>
      </c>
      <c r="BL453" s="59" t="str">
        <f t="shared" si="425"/>
        <v>0.0138274239701247-0.00526720231303047i</v>
      </c>
      <c r="BM453" s="64">
        <f t="shared" si="421"/>
        <v>-36.596727561312207</v>
      </c>
      <c r="BN453" s="61">
        <f t="shared" si="426"/>
        <v>-20.853054877792157</v>
      </c>
      <c r="BO453" s="50">
        <f t="shared" si="422"/>
        <v>-45.821479964905613</v>
      </c>
      <c r="BP453" s="61">
        <f t="shared" si="423"/>
        <v>-116.98736981394107</v>
      </c>
    </row>
    <row r="454" spans="14:68" x14ac:dyDescent="0.25">
      <c r="N454" s="11">
        <v>36</v>
      </c>
      <c r="O454" s="51">
        <f t="shared" si="424"/>
        <v>229086.76527677779</v>
      </c>
      <c r="P454" s="49" t="str">
        <f t="shared" si="374"/>
        <v>37.1583961085025</v>
      </c>
      <c r="Q454" s="18" t="str">
        <f t="shared" si="375"/>
        <v>1+1128.21176143448i</v>
      </c>
      <c r="R454" s="18">
        <f t="shared" si="387"/>
        <v>1128.2122046136053</v>
      </c>
      <c r="S454" s="18">
        <f t="shared" si="388"/>
        <v>1.5699099686019529</v>
      </c>
      <c r="T454" s="18" t="str">
        <f t="shared" si="376"/>
        <v>1+1.29545513789072i</v>
      </c>
      <c r="U454" s="18">
        <f t="shared" si="389"/>
        <v>1.6365219260026624</v>
      </c>
      <c r="V454" s="18">
        <f t="shared" si="390"/>
        <v>0.91340744327722279</v>
      </c>
      <c r="W454" s="32" t="str">
        <f t="shared" si="377"/>
        <v>1-11.3389808799751i</v>
      </c>
      <c r="X454" s="18">
        <f t="shared" si="391"/>
        <v>11.382991144529671</v>
      </c>
      <c r="Y454" s="18">
        <f t="shared" si="392"/>
        <v>-1.4828325608204804</v>
      </c>
      <c r="Z454" s="32" t="str">
        <f t="shared" si="378"/>
        <v>-0.31201865062444+2.73005175355487i</v>
      </c>
      <c r="AA454" s="18">
        <f t="shared" si="393"/>
        <v>2.7478242693857844</v>
      </c>
      <c r="AB454" s="18">
        <f t="shared" si="394"/>
        <v>1.6845929388782841</v>
      </c>
      <c r="AC454" s="32" t="str">
        <f>IMDIV(IMSUM(COMPLEX(0,2*PI()*O454*Constants!$B$61*Constants!$B$62),COMPLEX(1,0)),IMSUM(COMPLEX(0,2*PI()*O454*Constants!$B$61*Constants!$B$62),COMPLEX(2,0)))</f>
        <v>0.946163777377611+0.154983136001783i</v>
      </c>
      <c r="AD454" s="18">
        <f t="shared" si="395"/>
        <v>0.95877300028026269</v>
      </c>
      <c r="AE454" s="18">
        <f t="shared" si="396"/>
        <v>0.1623597517326647</v>
      </c>
      <c r="AF454" s="66" t="str">
        <f t="shared" si="397"/>
        <v>-0.185783243111763+0.106366379462545i</v>
      </c>
      <c r="AG454" s="64">
        <f t="shared" si="398"/>
        <v>-13.388575333001192</v>
      </c>
      <c r="AH454" s="61">
        <f t="shared" si="399"/>
        <v>150.2075915414311</v>
      </c>
      <c r="AI454" s="50" t="str">
        <f t="shared" si="379"/>
        <v>107.538871525172</v>
      </c>
      <c r="AJ454" s="50" t="str">
        <f t="shared" si="380"/>
        <v>1+1072.53590961732i</v>
      </c>
      <c r="AK454" s="50">
        <f t="shared" si="400"/>
        <v>1072.5363758020758</v>
      </c>
      <c r="AL454" s="50">
        <f t="shared" si="401"/>
        <v>1.5698639573504218</v>
      </c>
      <c r="AM454" s="50" t="str">
        <f t="shared" si="381"/>
        <v>1+1.29545513789072i</v>
      </c>
      <c r="AN454" s="50">
        <f t="shared" si="402"/>
        <v>1.6365219260026624</v>
      </c>
      <c r="AO454" s="50">
        <f t="shared" si="403"/>
        <v>0.91340744327722279</v>
      </c>
      <c r="AP454" s="50" t="str">
        <f t="shared" si="382"/>
        <v>1-3.72465805790681i</v>
      </c>
      <c r="AQ454" s="50">
        <f t="shared" si="404"/>
        <v>3.8565629319810308</v>
      </c>
      <c r="AR454" s="50">
        <f t="shared" si="405"/>
        <v>-1.3085008017563291</v>
      </c>
      <c r="AS454" s="59" t="str">
        <f t="shared" si="406"/>
        <v>-0.243021655173701-0.584288735750567i</v>
      </c>
      <c r="AT454" s="50">
        <f t="shared" si="407"/>
        <v>-3.9744860939669087</v>
      </c>
      <c r="AU454" s="61">
        <f t="shared" si="408"/>
        <v>-112.58376112038667</v>
      </c>
      <c r="AV454" s="32" t="str">
        <f t="shared" si="383"/>
        <v>-0.0000333333333333333</v>
      </c>
      <c r="AW454" s="32" t="str">
        <f t="shared" si="384"/>
        <v>0.0690909406875048i</v>
      </c>
      <c r="AX454" s="32">
        <f t="shared" si="409"/>
        <v>6.9090940687504807E-2</v>
      </c>
      <c r="AY454" s="32">
        <f t="shared" si="410"/>
        <v>1.5707963267948966</v>
      </c>
      <c r="AZ454" s="32" t="str">
        <f t="shared" si="385"/>
        <v>1+28.1881442041035i</v>
      </c>
      <c r="BA454" s="32">
        <f t="shared" si="411"/>
        <v>28.205876580445675</v>
      </c>
      <c r="BB454" s="32">
        <f t="shared" si="412"/>
        <v>1.5353352905549196</v>
      </c>
      <c r="BC454" s="32" t="str">
        <f t="shared" si="386"/>
        <v>1+1353.03092179697i</v>
      </c>
      <c r="BD454" s="32">
        <f t="shared" si="413"/>
        <v>1353.031291337624</v>
      </c>
      <c r="BE454" s="32">
        <f t="shared" si="414"/>
        <v>1.5700572455205444</v>
      </c>
      <c r="BF454" s="59" t="str">
        <f t="shared" si="415"/>
        <v>-0.000803420260647499+0.0231293820833447i</v>
      </c>
      <c r="BG454" s="50">
        <f t="shared" si="416"/>
        <v>-32.711482422566633</v>
      </c>
      <c r="BH454" s="61">
        <f t="shared" si="417"/>
        <v>91.989421475973614</v>
      </c>
      <c r="BI454" s="59" t="str">
        <f t="shared" si="418"/>
        <v>-0.00231092660980644-0.00438250851892681i</v>
      </c>
      <c r="BJ454" s="64">
        <f t="shared" si="419"/>
        <v>-46.100057755567825</v>
      </c>
      <c r="BK454" s="61">
        <f t="shared" si="420"/>
        <v>-117.80298698259527</v>
      </c>
      <c r="BL454" s="59" t="str">
        <f t="shared" si="425"/>
        <v>0.0137094859377119-0.00515151130866926i</v>
      </c>
      <c r="BM454" s="64">
        <f t="shared" si="421"/>
        <v>-36.685968516533556</v>
      </c>
      <c r="BN454" s="61">
        <f t="shared" si="426"/>
        <v>-20.594339644413125</v>
      </c>
      <c r="BO454" s="50">
        <f t="shared" si="422"/>
        <v>-46.100057755567825</v>
      </c>
      <c r="BP454" s="61">
        <f t="shared" si="423"/>
        <v>-117.80298698259527</v>
      </c>
    </row>
    <row r="455" spans="14:68" x14ac:dyDescent="0.25">
      <c r="N455" s="11">
        <v>37</v>
      </c>
      <c r="O455" s="51">
        <f t="shared" si="424"/>
        <v>234422.88153199267</v>
      </c>
      <c r="P455" s="49" t="str">
        <f t="shared" si="374"/>
        <v>37.1583961085025</v>
      </c>
      <c r="Q455" s="18" t="str">
        <f t="shared" si="375"/>
        <v>1+1154.49118928463i</v>
      </c>
      <c r="R455" s="18">
        <f t="shared" si="387"/>
        <v>1154.4916223757709</v>
      </c>
      <c r="S455" s="18">
        <f t="shared" si="388"/>
        <v>1.5699301445674436</v>
      </c>
      <c r="T455" s="18" t="str">
        <f t="shared" si="376"/>
        <v>1+1.32563016441767i</v>
      </c>
      <c r="U455" s="18">
        <f t="shared" si="389"/>
        <v>1.6605105638971462</v>
      </c>
      <c r="V455" s="18">
        <f t="shared" si="390"/>
        <v>0.92451179257940175</v>
      </c>
      <c r="W455" s="32" t="str">
        <f t="shared" si="377"/>
        <v>1-11.603099674084i</v>
      </c>
      <c r="X455" s="18">
        <f t="shared" si="391"/>
        <v>11.64611188537738</v>
      </c>
      <c r="Y455" s="18">
        <f t="shared" si="392"/>
        <v>-1.4848248952357799</v>
      </c>
      <c r="Z455" s="32" t="str">
        <f t="shared" si="378"/>
        <v>-0.37385218464407+2.79364282797649i</v>
      </c>
      <c r="AA455" s="18">
        <f t="shared" si="393"/>
        <v>2.8185467365767813</v>
      </c>
      <c r="AB455" s="18">
        <f t="shared" si="394"/>
        <v>1.7038284214444848</v>
      </c>
      <c r="AC455" s="32" t="str">
        <f>IMDIV(IMSUM(COMPLEX(0,2*PI()*O455*Constants!$B$61*Constants!$B$62),COMPLEX(1,0)),IMSUM(COMPLEX(0,2*PI()*O455*Constants!$B$61*Constants!$B$62),COMPLEX(2,0)))</f>
        <v>0.948336441920893+0.152192824424019i</v>
      </c>
      <c r="AD455" s="18">
        <f t="shared" si="395"/>
        <v>0.96047106301092666</v>
      </c>
      <c r="AE455" s="18">
        <f t="shared" si="396"/>
        <v>0.15912714424502372</v>
      </c>
      <c r="AF455" s="66" t="str">
        <f t="shared" si="397"/>
        <v>-0.182643959963097+0.107838190818605i</v>
      </c>
      <c r="AG455" s="64">
        <f t="shared" si="398"/>
        <v>-13.469043608468105</v>
      </c>
      <c r="AH455" s="61">
        <f t="shared" si="399"/>
        <v>149.44118880583429</v>
      </c>
      <c r="AI455" s="50" t="str">
        <f t="shared" si="379"/>
        <v>107.538871525172</v>
      </c>
      <c r="AJ455" s="50" t="str">
        <f t="shared" si="380"/>
        <v>1+1097.51848028087i</v>
      </c>
      <c r="AK455" s="50">
        <f t="shared" si="400"/>
        <v>1097.5189358539701</v>
      </c>
      <c r="AL455" s="50">
        <f t="shared" si="401"/>
        <v>1.569885180658191</v>
      </c>
      <c r="AM455" s="50" t="str">
        <f t="shared" si="381"/>
        <v>1+1.32563016441767i</v>
      </c>
      <c r="AN455" s="50">
        <f t="shared" si="402"/>
        <v>1.6605105638971462</v>
      </c>
      <c r="AO455" s="50">
        <f t="shared" si="403"/>
        <v>0.92451179257940175</v>
      </c>
      <c r="AP455" s="50" t="str">
        <f t="shared" si="382"/>
        <v>1-3.81141648929808i</v>
      </c>
      <c r="AQ455" s="50">
        <f t="shared" si="404"/>
        <v>3.9404182081212276</v>
      </c>
      <c r="AR455" s="50">
        <f t="shared" si="405"/>
        <v>-1.3142099498771482</v>
      </c>
      <c r="AS455" s="59" t="str">
        <f t="shared" si="406"/>
        <v>-0.243025872195284-0.593270309643031i</v>
      </c>
      <c r="AT455" s="50">
        <f t="shared" si="407"/>
        <v>-3.8612517420177737</v>
      </c>
      <c r="AU455" s="61">
        <f t="shared" si="408"/>
        <v>-112.27585486903327</v>
      </c>
      <c r="AV455" s="32" t="str">
        <f t="shared" si="383"/>
        <v>-0.0000333333333333333</v>
      </c>
      <c r="AW455" s="32" t="str">
        <f t="shared" si="384"/>
        <v>0.0707002754356088i</v>
      </c>
      <c r="AX455" s="32">
        <f t="shared" si="409"/>
        <v>7.0700275435608806E-2</v>
      </c>
      <c r="AY455" s="32">
        <f t="shared" si="410"/>
        <v>1.5707963267948966</v>
      </c>
      <c r="AZ455" s="32" t="str">
        <f t="shared" si="385"/>
        <v>1+28.8447304294585i</v>
      </c>
      <c r="BA455" s="32">
        <f t="shared" si="411"/>
        <v>28.862059412802292</v>
      </c>
      <c r="BB455" s="32">
        <f t="shared" si="412"/>
        <v>1.5361418286716544</v>
      </c>
      <c r="BC455" s="32" t="str">
        <f t="shared" si="386"/>
        <v>1+1384.54706061401i</v>
      </c>
      <c r="BD455" s="32">
        <f t="shared" si="413"/>
        <v>1384.5474217428939</v>
      </c>
      <c r="BE455" s="32">
        <f t="shared" si="414"/>
        <v>1.5700740690583694</v>
      </c>
      <c r="BF455" s="59" t="str">
        <f t="shared" si="415"/>
        <v>-0.000767303800620713+0.0226041451686189i</v>
      </c>
      <c r="BG455" s="50">
        <f t="shared" si="416"/>
        <v>-32.911236831432234</v>
      </c>
      <c r="BH455" s="61">
        <f t="shared" si="417"/>
        <v>91.944174163582133</v>
      </c>
      <c r="BI455" s="59" t="str">
        <f t="shared" si="418"/>
        <v>-0.00229744671534487-0.00421125523884444i</v>
      </c>
      <c r="BJ455" s="64">
        <f t="shared" si="419"/>
        <v>-46.380280439900339</v>
      </c>
      <c r="BK455" s="61">
        <f t="shared" si="420"/>
        <v>-118.61463703058354</v>
      </c>
      <c r="BL455" s="59" t="str">
        <f t="shared" si="425"/>
        <v>0.0135968428787872-0.0050381735314479i</v>
      </c>
      <c r="BM455" s="64">
        <f t="shared" si="421"/>
        <v>-36.772488573449984</v>
      </c>
      <c r="BN455" s="61">
        <f t="shared" si="426"/>
        <v>-20.331680705451095</v>
      </c>
      <c r="BO455" s="50">
        <f t="shared" si="422"/>
        <v>-46.380280439900339</v>
      </c>
      <c r="BP455" s="61">
        <f t="shared" si="423"/>
        <v>-118.61463703058354</v>
      </c>
    </row>
    <row r="456" spans="14:68" x14ac:dyDescent="0.25">
      <c r="N456" s="11">
        <v>38</v>
      </c>
      <c r="O456" s="51">
        <f t="shared" si="424"/>
        <v>239883.29190194907</v>
      </c>
      <c r="P456" s="49" t="str">
        <f t="shared" si="374"/>
        <v>37.1583961085025</v>
      </c>
      <c r="Q456" s="18" t="str">
        <f t="shared" si="375"/>
        <v>1+1181.38274364483i</v>
      </c>
      <c r="R456" s="18">
        <f t="shared" si="387"/>
        <v>1181.3831668776163</v>
      </c>
      <c r="S456" s="18">
        <f t="shared" si="388"/>
        <v>1.5699498612725713</v>
      </c>
      <c r="T456" s="18" t="str">
        <f t="shared" si="376"/>
        <v>1+1.35650805760458i</v>
      </c>
      <c r="U456" s="18">
        <f t="shared" si="389"/>
        <v>1.6852638103116528</v>
      </c>
      <c r="V456" s="18">
        <f t="shared" si="390"/>
        <v>0.93554614717211915</v>
      </c>
      <c r="W456" s="32" t="str">
        <f t="shared" si="377"/>
        <v>1-11.8733705852252i</v>
      </c>
      <c r="X456" s="18">
        <f t="shared" si="391"/>
        <v>11.915407213104007</v>
      </c>
      <c r="Y456" s="18">
        <f t="shared" si="392"/>
        <v>-1.4867725399345058</v>
      </c>
      <c r="Z456" s="32" t="str">
        <f t="shared" si="378"/>
        <v>-0.43859984334289+2.85871512880372i</v>
      </c>
      <c r="AA456" s="18">
        <f t="shared" si="393"/>
        <v>2.892165626348477</v>
      </c>
      <c r="AB456" s="18">
        <f t="shared" si="394"/>
        <v>1.7230347169857407</v>
      </c>
      <c r="AC456" s="32" t="str">
        <f>IMDIV(IMSUM(COMPLEX(0,2*PI()*O456*Constants!$B$61*Constants!$B$62),COMPLEX(1,0)),IMSUM(COMPLEX(0,2*PI()*O456*Constants!$B$61*Constants!$B$62),COMPLEX(2,0)))</f>
        <v>0.950431165883388+0.149423384189443i</v>
      </c>
      <c r="AD456" s="18">
        <f t="shared" si="395"/>
        <v>0.96210537303617749</v>
      </c>
      <c r="AE456" s="18">
        <f t="shared" si="396"/>
        <v>0.15593998947155935</v>
      </c>
      <c r="AF456" s="66" t="str">
        <f t="shared" si="397"/>
        <v>-0.179485962705579+0.109225142167726i</v>
      </c>
      <c r="AG456" s="64">
        <f t="shared" si="398"/>
        <v>-13.5511510947331</v>
      </c>
      <c r="AH456" s="61">
        <f t="shared" si="399"/>
        <v>148.67763905666087</v>
      </c>
      <c r="AI456" s="50" t="str">
        <f t="shared" si="379"/>
        <v>107.538871525172</v>
      </c>
      <c r="AJ456" s="50" t="str">
        <f t="shared" si="380"/>
        <v>1+1123.08296977003i</v>
      </c>
      <c r="AK456" s="50">
        <f t="shared" si="400"/>
        <v>1123.0834149730244</v>
      </c>
      <c r="AL456" s="50">
        <f t="shared" si="401"/>
        <v>1.5699059208652879</v>
      </c>
      <c r="AM456" s="50" t="str">
        <f t="shared" si="381"/>
        <v>1+1.35650805760458i</v>
      </c>
      <c r="AN456" s="50">
        <f t="shared" si="402"/>
        <v>1.6852638103116528</v>
      </c>
      <c r="AO456" s="50">
        <f t="shared" si="403"/>
        <v>0.93554614717211915</v>
      </c>
      <c r="AP456" s="50" t="str">
        <f t="shared" si="382"/>
        <v>1-3.90019578416203i</v>
      </c>
      <c r="AQ456" s="50">
        <f t="shared" si="404"/>
        <v>4.026354077176431</v>
      </c>
      <c r="AR456" s="50">
        <f t="shared" si="405"/>
        <v>-1.3198057175695184</v>
      </c>
      <c r="AS456" s="59" t="str">
        <f t="shared" si="406"/>
        <v>-0.24302989941994-0.602566442960572i</v>
      </c>
      <c r="AT456" s="50">
        <f t="shared" si="407"/>
        <v>-3.7453336050620352</v>
      </c>
      <c r="AU456" s="61">
        <f t="shared" si="408"/>
        <v>-111.96543511946112</v>
      </c>
      <c r="AV456" s="32" t="str">
        <f t="shared" si="383"/>
        <v>-0.0000333333333333333</v>
      </c>
      <c r="AW456" s="32" t="str">
        <f t="shared" si="384"/>
        <v>0.0723470964055775i</v>
      </c>
      <c r="AX456" s="32">
        <f t="shared" si="409"/>
        <v>7.2347096405577502E-2</v>
      </c>
      <c r="AY456" s="32">
        <f t="shared" si="410"/>
        <v>1.5707963267948966</v>
      </c>
      <c r="AZ456" s="32" t="str">
        <f t="shared" si="385"/>
        <v>1+29.5166105126923i</v>
      </c>
      <c r="BA456" s="32">
        <f t="shared" si="411"/>
        <v>29.533545269032256</v>
      </c>
      <c r="BB456" s="32">
        <f t="shared" si="412"/>
        <v>1.536930051325011</v>
      </c>
      <c r="BC456" s="32" t="str">
        <f t="shared" si="386"/>
        <v>1+1416.79730460923i</v>
      </c>
      <c r="BD456" s="32">
        <f t="shared" si="413"/>
        <v>1416.7976575178191</v>
      </c>
      <c r="BE456" s="32">
        <f t="shared" si="414"/>
        <v>1.5700905096461151</v>
      </c>
      <c r="BF456" s="59" t="str">
        <f t="shared" si="415"/>
        <v>-0.000732809033985876+0.0220907806627529i</v>
      </c>
      <c r="BG456" s="50">
        <f t="shared" si="416"/>
        <v>-33.11100228074325</v>
      </c>
      <c r="BH456" s="61">
        <f t="shared" si="417"/>
        <v>91.89995430851873</v>
      </c>
      <c r="BI456" s="59" t="str">
        <f t="shared" si="418"/>
        <v>-0.00228133972354094-0.00404502620509089i</v>
      </c>
      <c r="BJ456" s="64">
        <f t="shared" si="419"/>
        <v>-46.66215337547635</v>
      </c>
      <c r="BK456" s="61">
        <f t="shared" si="420"/>
        <v>-119.42240663482045</v>
      </c>
      <c r="BL456" s="59" t="str">
        <f t="shared" si="425"/>
        <v>0.0134892576320008-0.00492715406959855i</v>
      </c>
      <c r="BM456" s="64">
        <f t="shared" si="421"/>
        <v>-36.856335885805294</v>
      </c>
      <c r="BN456" s="61">
        <f t="shared" si="426"/>
        <v>-20.065480810942411</v>
      </c>
      <c r="BO456" s="50">
        <f t="shared" si="422"/>
        <v>-46.66215337547635</v>
      </c>
      <c r="BP456" s="61">
        <f t="shared" si="423"/>
        <v>-119.42240663482045</v>
      </c>
    </row>
    <row r="457" spans="14:68" x14ac:dyDescent="0.25">
      <c r="N457" s="11">
        <v>39</v>
      </c>
      <c r="O457" s="51">
        <f t="shared" si="424"/>
        <v>245470.89156850305</v>
      </c>
      <c r="P457" s="49" t="str">
        <f t="shared" si="374"/>
        <v>37.1583961085025</v>
      </c>
      <c r="Q457" s="18" t="str">
        <f t="shared" si="375"/>
        <v>1+1208.90068277317i</v>
      </c>
      <c r="R457" s="18">
        <f t="shared" si="387"/>
        <v>1208.9010963720052</v>
      </c>
      <c r="S457" s="18">
        <f t="shared" si="388"/>
        <v>1.5699691291713327</v>
      </c>
      <c r="T457" s="18" t="str">
        <f t="shared" si="376"/>
        <v>1+1.38810518931914i</v>
      </c>
      <c r="U457" s="18">
        <f t="shared" si="389"/>
        <v>1.7107998178088297</v>
      </c>
      <c r="V457" s="18">
        <f t="shared" si="390"/>
        <v>0.94650560990857646</v>
      </c>
      <c r="W457" s="32" t="str">
        <f t="shared" si="377"/>
        <v>1-12.1499369146134i</v>
      </c>
      <c r="X457" s="18">
        <f t="shared" si="391"/>
        <v>12.191019933913873</v>
      </c>
      <c r="Y457" s="18">
        <f t="shared" si="392"/>
        <v>-1.4886764684465104</v>
      </c>
      <c r="Z457" s="32" t="str">
        <f t="shared" si="378"/>
        <v>-0.50639896518589+2.92530315823182i</v>
      </c>
      <c r="AA457" s="18">
        <f t="shared" si="393"/>
        <v>2.9688109538167633</v>
      </c>
      <c r="AB457" s="18">
        <f t="shared" si="394"/>
        <v>1.7422074801080691</v>
      </c>
      <c r="AC457" s="32" t="str">
        <f>IMDIV(IMSUM(COMPLEX(0,2*PI()*O457*Constants!$B$61*Constants!$B$62),COMPLEX(1,0)),IMSUM(COMPLEX(0,2*PI()*O457*Constants!$B$61*Constants!$B$62),COMPLEX(2,0)))</f>
        <v>0.952449965994109+0.146676553235288i</v>
      </c>
      <c r="AD457" s="18">
        <f t="shared" si="395"/>
        <v>0.96367782427072779</v>
      </c>
      <c r="AE457" s="18">
        <f t="shared" si="396"/>
        <v>0.15279885342508778</v>
      </c>
      <c r="AF457" s="66" t="str">
        <f t="shared" si="397"/>
        <v>-0.176311619509949+0.110527671545718i</v>
      </c>
      <c r="AG457" s="64">
        <f t="shared" si="398"/>
        <v>-13.634905062924108</v>
      </c>
      <c r="AH457" s="61">
        <f t="shared" si="399"/>
        <v>147.91688673282627</v>
      </c>
      <c r="AI457" s="50" t="str">
        <f t="shared" si="379"/>
        <v>107.538871525172</v>
      </c>
      <c r="AJ457" s="50" t="str">
        <f t="shared" si="380"/>
        <v>1+1149.24293271553i</v>
      </c>
      <c r="AK457" s="50">
        <f t="shared" si="400"/>
        <v>1149.2433677844708</v>
      </c>
      <c r="AL457" s="50">
        <f t="shared" si="401"/>
        <v>1.5699261889683735</v>
      </c>
      <c r="AM457" s="50" t="str">
        <f t="shared" si="381"/>
        <v>1+1.38810518931914i</v>
      </c>
      <c r="AN457" s="50">
        <f t="shared" si="402"/>
        <v>1.7107998178088297</v>
      </c>
      <c r="AO457" s="50">
        <f t="shared" si="403"/>
        <v>0.94650560990857646</v>
      </c>
      <c r="AP457" s="50" t="str">
        <f t="shared" si="382"/>
        <v>1-3.99104301445594i</v>
      </c>
      <c r="AQ457" s="50">
        <f t="shared" si="404"/>
        <v>4.1144166467723648</v>
      </c>
      <c r="AR457" s="50">
        <f t="shared" si="405"/>
        <v>-1.32528966945286</v>
      </c>
      <c r="AS457" s="59" t="str">
        <f t="shared" si="406"/>
        <v>-0.243033745389908-0.612182064659213i</v>
      </c>
      <c r="AT457" s="50">
        <f t="shared" si="407"/>
        <v>-3.6267813503821267</v>
      </c>
      <c r="AU457" s="61">
        <f t="shared" si="408"/>
        <v>-111.65287273366499</v>
      </c>
      <c r="AV457" s="32" t="str">
        <f t="shared" si="383"/>
        <v>-0.0000333333333333333</v>
      </c>
      <c r="AW457" s="32" t="str">
        <f t="shared" si="384"/>
        <v>0.0740322767636876i</v>
      </c>
      <c r="AX457" s="32">
        <f t="shared" si="409"/>
        <v>7.4032276763687593E-2</v>
      </c>
      <c r="AY457" s="32">
        <f t="shared" si="410"/>
        <v>1.5707963267948966</v>
      </c>
      <c r="AZ457" s="32" t="str">
        <f t="shared" si="385"/>
        <v>1+30.2041406935184i</v>
      </c>
      <c r="BA457" s="32">
        <f t="shared" si="411"/>
        <v>30.220690181295563</v>
      </c>
      <c r="BB457" s="32">
        <f t="shared" si="412"/>
        <v>1.5377003725210847</v>
      </c>
      <c r="BC457" s="32" t="str">
        <f t="shared" si="386"/>
        <v>1+1449.79875328888i</v>
      </c>
      <c r="BD457" s="32">
        <f t="shared" si="413"/>
        <v>1449.7990981642909</v>
      </c>
      <c r="BE457" s="32">
        <f t="shared" si="414"/>
        <v>1.5701065760007633</v>
      </c>
      <c r="BF457" s="59" t="str">
        <f t="shared" si="415"/>
        <v>-0.000699863307638063+0.0215890238721498i</v>
      </c>
      <c r="BG457" s="50">
        <f t="shared" si="416"/>
        <v>-33.310778274738205</v>
      </c>
      <c r="BH457" s="61">
        <f t="shared" si="417"/>
        <v>91.856738689427729</v>
      </c>
      <c r="BI457" s="59" t="str">
        <f t="shared" si="418"/>
        <v>-0.00226279050632838-0.0038837500243312i</v>
      </c>
      <c r="BJ457" s="64">
        <f t="shared" si="419"/>
        <v>-46.945683337662309</v>
      </c>
      <c r="BK457" s="61">
        <f t="shared" si="420"/>
        <v>-120.22637457774599</v>
      </c>
      <c r="BL457" s="59" t="str">
        <f t="shared" si="425"/>
        <v>0.0133865036089459-0.0048184175663116i</v>
      </c>
      <c r="BM457" s="64">
        <f t="shared" si="421"/>
        <v>-36.937559625120358</v>
      </c>
      <c r="BN457" s="61">
        <f t="shared" si="426"/>
        <v>-19.796134044237313</v>
      </c>
      <c r="BO457" s="50">
        <f t="shared" si="422"/>
        <v>-46.945683337662309</v>
      </c>
      <c r="BP457" s="61">
        <f t="shared" si="423"/>
        <v>-120.22637457774599</v>
      </c>
    </row>
    <row r="458" spans="14:68" x14ac:dyDescent="0.25">
      <c r="N458" s="11">
        <v>40</v>
      </c>
      <c r="O458" s="51">
        <f t="shared" si="424"/>
        <v>251188.64315095844</v>
      </c>
      <c r="P458" s="49" t="str">
        <f t="shared" si="374"/>
        <v>37.1583961085025</v>
      </c>
      <c r="Q458" s="18" t="str">
        <f t="shared" si="375"/>
        <v>1+1237.05959704521i</v>
      </c>
      <c r="R458" s="18">
        <f t="shared" si="387"/>
        <v>1237.0600012293896</v>
      </c>
      <c r="S458" s="18">
        <f t="shared" si="388"/>
        <v>1.5699879584797656</v>
      </c>
      <c r="T458" s="18" t="str">
        <f t="shared" si="376"/>
        <v>1+1.42043831277883i</v>
      </c>
      <c r="U458" s="18">
        <f t="shared" si="389"/>
        <v>1.7371370125611767</v>
      </c>
      <c r="V458" s="18">
        <f t="shared" si="390"/>
        <v>0.95738546120372037</v>
      </c>
      <c r="W458" s="32" t="str">
        <f t="shared" si="377"/>
        <v>1-12.4329453013772i</v>
      </c>
      <c r="X458" s="18">
        <f t="shared" si="391"/>
        <v>12.473096202107856</v>
      </c>
      <c r="Y458" s="18">
        <f t="shared" si="392"/>
        <v>-1.490537635016103</v>
      </c>
      <c r="Z458" s="32" t="str">
        <f t="shared" si="378"/>
        <v>-0.57739336120049+2.99344222211539i</v>
      </c>
      <c r="AA458" s="18">
        <f t="shared" si="393"/>
        <v>3.0486192662747387</v>
      </c>
      <c r="AB458" s="18">
        <f t="shared" si="394"/>
        <v>1.7613423234314332</v>
      </c>
      <c r="AC458" s="32" t="str">
        <f>IMDIV(IMSUM(COMPLEX(0,2*PI()*O458*Constants!$B$61*Constants!$B$62),COMPLEX(1,0)),IMSUM(COMPLEX(0,2*PI()*O458*Constants!$B$61*Constants!$B$62),COMPLEX(2,0)))</f>
        <v>0.95439487061372+0.143953940087796i</v>
      </c>
      <c r="AD458" s="18">
        <f t="shared" si="395"/>
        <v>0.96519029518565935</v>
      </c>
      <c r="AE458" s="18">
        <f t="shared" si="396"/>
        <v>0.1497042090054849</v>
      </c>
      <c r="AF458" s="66" t="str">
        <f t="shared" si="397"/>
        <v>-0.173123261882406+0.11174624008511i</v>
      </c>
      <c r="AG458" s="64">
        <f t="shared" si="398"/>
        <v>-13.720314048937677</v>
      </c>
      <c r="AH458" s="61">
        <f t="shared" si="399"/>
        <v>147.15888463604543</v>
      </c>
      <c r="AI458" s="50" t="str">
        <f t="shared" si="379"/>
        <v>107.538871525172</v>
      </c>
      <c r="AJ458" s="50" t="str">
        <f t="shared" si="380"/>
        <v>1+1176.01223947598i</v>
      </c>
      <c r="AK458" s="50">
        <f t="shared" si="400"/>
        <v>1176.0126646415463</v>
      </c>
      <c r="AL458" s="50">
        <f t="shared" si="401"/>
        <v>1.5699459957137978</v>
      </c>
      <c r="AM458" s="50" t="str">
        <f t="shared" si="381"/>
        <v>1+1.42043831277883i</v>
      </c>
      <c r="AN458" s="50">
        <f t="shared" si="402"/>
        <v>1.7371370125611767</v>
      </c>
      <c r="AO458" s="50">
        <f t="shared" si="403"/>
        <v>0.95738546120372037</v>
      </c>
      <c r="AP458" s="50" t="str">
        <f t="shared" si="382"/>
        <v>1-4.08400634858384i</v>
      </c>
      <c r="AQ458" s="50">
        <f t="shared" si="404"/>
        <v>4.2046531194942949</v>
      </c>
      <c r="AR458" s="50">
        <f t="shared" si="405"/>
        <v>-1.3306633932485801</v>
      </c>
      <c r="AS458" s="59" t="str">
        <f t="shared" si="406"/>
        <v>-0.243037418262973-0.622122273090415i</v>
      </c>
      <c r="AT458" s="50">
        <f t="shared" si="407"/>
        <v>-3.5056455499734889</v>
      </c>
      <c r="AU458" s="61">
        <f t="shared" si="408"/>
        <v>-111.33852970940585</v>
      </c>
      <c r="AV458" s="32" t="str">
        <f t="shared" si="383"/>
        <v>-0.0000333333333333333</v>
      </c>
      <c r="AW458" s="32" t="str">
        <f t="shared" si="384"/>
        <v>0.075756710014871i</v>
      </c>
      <c r="AX458" s="32">
        <f t="shared" si="409"/>
        <v>7.5756710014870998E-2</v>
      </c>
      <c r="AY458" s="32">
        <f t="shared" si="410"/>
        <v>1.5707963267948966</v>
      </c>
      <c r="AZ458" s="32" t="str">
        <f t="shared" si="385"/>
        <v>1+30.9076855095394i</v>
      </c>
      <c r="BA458" s="32">
        <f t="shared" si="411"/>
        <v>30.923858484293191</v>
      </c>
      <c r="BB458" s="32">
        <f t="shared" si="412"/>
        <v>1.5384531970354443</v>
      </c>
      <c r="BC458" s="32" t="str">
        <f t="shared" si="386"/>
        <v>1+1483.56890445789i</v>
      </c>
      <c r="BD458" s="32">
        <f t="shared" si="413"/>
        <v>1483.5692414829798</v>
      </c>
      <c r="BE458" s="32">
        <f t="shared" si="414"/>
        <v>1.5701222766408747</v>
      </c>
      <c r="BF458" s="59" t="str">
        <f t="shared" si="415"/>
        <v>-0.000668397208986419+0.0210986157590972i</v>
      </c>
      <c r="BG458" s="50">
        <f t="shared" si="416"/>
        <v>-33.51056433986858</v>
      </c>
      <c r="BH458" s="61">
        <f t="shared" si="417"/>
        <v>91.814504602454988</v>
      </c>
      <c r="BI458" s="59" t="str">
        <f t="shared" si="418"/>
        <v>-0.00224197587702674-0.00372735205640606i</v>
      </c>
      <c r="BJ458" s="64">
        <f t="shared" si="419"/>
        <v>-47.230878388806246</v>
      </c>
      <c r="BK458" s="61">
        <f t="shared" si="420"/>
        <v>-121.02661076149958</v>
      </c>
      <c r="BL458" s="59" t="str">
        <f t="shared" si="425"/>
        <v>0.013288364327157-0.00471192831203154i</v>
      </c>
      <c r="BM458" s="64">
        <f t="shared" si="421"/>
        <v>-37.016209889842095</v>
      </c>
      <c r="BN458" s="61">
        <f t="shared" si="426"/>
        <v>-19.524025106950901</v>
      </c>
      <c r="BO458" s="50">
        <f t="shared" si="422"/>
        <v>-47.230878388806246</v>
      </c>
      <c r="BP458" s="61">
        <f t="shared" si="423"/>
        <v>-121.02661076149958</v>
      </c>
    </row>
    <row r="459" spans="14:68" x14ac:dyDescent="0.25">
      <c r="N459" s="11">
        <v>41</v>
      </c>
      <c r="O459" s="51">
        <f t="shared" si="424"/>
        <v>257039.57827688678</v>
      </c>
      <c r="P459" s="49" t="str">
        <f t="shared" si="374"/>
        <v>37.1583961085025</v>
      </c>
      <c r="Q459" s="18" t="str">
        <f t="shared" si="375"/>
        <v>1+1265.87441669001i</v>
      </c>
      <c r="R459" s="18">
        <f t="shared" si="387"/>
        <v>1265.8748116738373</v>
      </c>
      <c r="S459" s="18">
        <f t="shared" si="388"/>
        <v>1.5700063591813647</v>
      </c>
      <c r="T459" s="18" t="str">
        <f t="shared" si="376"/>
        <v>1+1.45352457143367i</v>
      </c>
      <c r="U459" s="18">
        <f t="shared" si="389"/>
        <v>1.7642941023994367</v>
      </c>
      <c r="V459" s="18">
        <f t="shared" si="390"/>
        <v>0.96818116699372081</v>
      </c>
      <c r="W459" s="32" t="str">
        <f t="shared" si="377"/>
        <v>1-12.7225458003092i</v>
      </c>
      <c r="X459" s="18">
        <f t="shared" si="391"/>
        <v>12.761785597672658</v>
      </c>
      <c r="Y459" s="18">
        <f t="shared" si="392"/>
        <v>-1.4923569748539278</v>
      </c>
      <c r="Z459" s="32" t="str">
        <f t="shared" si="378"/>
        <v>-0.65173362001899+3.063168448688i</v>
      </c>
      <c r="AA459" s="18">
        <f t="shared" si="393"/>
        <v>3.1317339696246083</v>
      </c>
      <c r="AB459" s="18">
        <f t="shared" si="394"/>
        <v>1.78043481476443</v>
      </c>
      <c r="AC459" s="32" t="str">
        <f>IMDIV(IMSUM(COMPLEX(0,2*PI()*O459*Constants!$B$61*Constants!$B$62),COMPLEX(1,0)),IMSUM(COMPLEX(0,2*PI()*O459*Constants!$B$61*Constants!$B$62),COMPLEX(2,0)))</f>
        <v>0.956267913306085+0.141257027932608i</v>
      </c>
      <c r="AD459" s="18">
        <f t="shared" si="395"/>
        <v>0.96664464513032278</v>
      </c>
      <c r="AE459" s="18">
        <f t="shared" si="396"/>
        <v>0.14665644104870981</v>
      </c>
      <c r="AF459" s="66" t="str">
        <f t="shared" si="397"/>
        <v>-0.169923190669635+0.112881331225495i</v>
      </c>
      <c r="AG459" s="64">
        <f t="shared" si="398"/>
        <v>-13.807387711533782</v>
      </c>
      <c r="AH459" s="61">
        <f t="shared" si="399"/>
        <v>146.40359482329896</v>
      </c>
      <c r="AI459" s="50" t="str">
        <f t="shared" si="379"/>
        <v>107.538871525172</v>
      </c>
      <c r="AJ459" s="50" t="str">
        <f t="shared" si="380"/>
        <v>1+1203.40508349217i</v>
      </c>
      <c r="AK459" s="50">
        <f t="shared" si="400"/>
        <v>1203.4054989797899</v>
      </c>
      <c r="AL459" s="50">
        <f t="shared" si="401"/>
        <v>1.5699653516032972</v>
      </c>
      <c r="AM459" s="50" t="str">
        <f t="shared" si="381"/>
        <v>1+1.45352457143367i</v>
      </c>
      <c r="AN459" s="50">
        <f t="shared" si="402"/>
        <v>1.7642941023994367</v>
      </c>
      <c r="AO459" s="50">
        <f t="shared" si="403"/>
        <v>0.96818116699372081</v>
      </c>
      <c r="AP459" s="50" t="str">
        <f t="shared" si="382"/>
        <v>1-4.17913507693594i</v>
      </c>
      <c r="AQ459" s="50">
        <f t="shared" si="404"/>
        <v>4.2971118197315237</v>
      </c>
      <c r="AR459" s="50">
        <f t="shared" si="405"/>
        <v>-1.335928496230151</v>
      </c>
      <c r="AS459" s="59" t="str">
        <f t="shared" si="406"/>
        <v>-0.243040925829749-0.632392338704355i</v>
      </c>
      <c r="AT459" s="50">
        <f t="shared" si="407"/>
        <v>-3.3819775877438687</v>
      </c>
      <c r="AU459" s="61">
        <f t="shared" si="408"/>
        <v>-111.02275852109665</v>
      </c>
      <c r="AV459" s="32" t="str">
        <f t="shared" si="383"/>
        <v>-0.0000333333333333333</v>
      </c>
      <c r="AW459" s="32" t="str">
        <f t="shared" si="384"/>
        <v>0.0775213104764627i</v>
      </c>
      <c r="AX459" s="32">
        <f t="shared" si="409"/>
        <v>7.7521310476462699E-2</v>
      </c>
      <c r="AY459" s="32">
        <f t="shared" si="410"/>
        <v>1.5707963267948966</v>
      </c>
      <c r="AZ459" s="32" t="str">
        <f t="shared" si="385"/>
        <v>1+31.627617989529i</v>
      </c>
      <c r="BA459" s="32">
        <f t="shared" si="411"/>
        <v>31.643423008448032</v>
      </c>
      <c r="BB459" s="32">
        <f t="shared" si="412"/>
        <v>1.5391889206103853</v>
      </c>
      <c r="BC459" s="32" t="str">
        <f t="shared" si="386"/>
        <v>1+1518.1256634974i</v>
      </c>
      <c r="BD459" s="32">
        <f t="shared" si="413"/>
        <v>1518.1259928508639</v>
      </c>
      <c r="BE459" s="32">
        <f t="shared" si="414"/>
        <v>1.5701376198911055</v>
      </c>
      <c r="BF459" s="59" t="str">
        <f t="shared" si="415"/>
        <v>-0.000638344422685823+0.0206193028375074i</v>
      </c>
      <c r="BG459" s="50">
        <f t="shared" si="416"/>
        <v>-33.710360023807297</v>
      </c>
      <c r="BH459" s="61">
        <f t="shared" si="417"/>
        <v>91.773229850204828</v>
      </c>
      <c r="BI459" s="59" t="str">
        <f t="shared" si="418"/>
        <v>-0.00221906483219052-0.00357575489574586i</v>
      </c>
      <c r="BJ459" s="64">
        <f t="shared" si="419"/>
        <v>-47.517747735341082</v>
      </c>
      <c r="BK459" s="61">
        <f t="shared" si="420"/>
        <v>-121.82317532649621</v>
      </c>
      <c r="BL459" s="59" t="str">
        <f t="shared" si="425"/>
        <v>0.0131946329633525-0.0046076503292306i</v>
      </c>
      <c r="BM459" s="64">
        <f t="shared" si="421"/>
        <v>-37.092337611551145</v>
      </c>
      <c r="BN459" s="61">
        <f t="shared" si="426"/>
        <v>-19.249528670891774</v>
      </c>
      <c r="BO459" s="50">
        <f t="shared" si="422"/>
        <v>-47.517747735341082</v>
      </c>
      <c r="BP459" s="61">
        <f t="shared" si="423"/>
        <v>-121.82317532649621</v>
      </c>
    </row>
    <row r="460" spans="14:68" x14ac:dyDescent="0.25">
      <c r="N460" s="11">
        <v>42</v>
      </c>
      <c r="O460" s="51">
        <f t="shared" si="424"/>
        <v>263026.79918953858</v>
      </c>
      <c r="P460" s="49" t="str">
        <f t="shared" si="374"/>
        <v>37.1583961085025</v>
      </c>
      <c r="Q460" s="18" t="str">
        <f t="shared" si="375"/>
        <v>1+1295.36041970637i</v>
      </c>
      <c r="R460" s="18">
        <f t="shared" si="387"/>
        <v>1295.3608056992705</v>
      </c>
      <c r="S460" s="18">
        <f t="shared" si="388"/>
        <v>1.570024341032376</v>
      </c>
      <c r="T460" s="18" t="str">
        <f t="shared" si="376"/>
        <v>1+1.48738150805596i</v>
      </c>
      <c r="U460" s="18">
        <f t="shared" si="389"/>
        <v>1.7922900854791397</v>
      </c>
      <c r="V460" s="18">
        <f t="shared" si="390"/>
        <v>0.97888838570936643</v>
      </c>
      <c r="W460" s="32" t="str">
        <f t="shared" si="377"/>
        <v>1-13.0188919614273i</v>
      </c>
      <c r="X460" s="18">
        <f t="shared" si="391"/>
        <v>13.057241205680333</v>
      </c>
      <c r="Y460" s="18">
        <f t="shared" si="392"/>
        <v>-1.4941354043950881</v>
      </c>
      <c r="Z460" s="32" t="str">
        <f t="shared" si="378"/>
        <v>-0.72957742729734+3.13451880771793i</v>
      </c>
      <c r="AA460" s="18">
        <f t="shared" si="393"/>
        <v>3.2183056688821901</v>
      </c>
      <c r="AB460" s="18">
        <f t="shared" si="394"/>
        <v>1.7994804751009053</v>
      </c>
      <c r="AC460" s="32" t="str">
        <f>IMDIV(IMSUM(COMPLEX(0,2*PI()*O460*Constants!$B$61*Constants!$B$62),COMPLEX(1,0)),IMSUM(COMPLEX(0,2*PI()*O460*Constants!$B$61*Constants!$B$62),COMPLEX(2,0)))</f>
        <v>0.958071126906794+0.138587178872134i</v>
      </c>
      <c r="AD460" s="18">
        <f t="shared" si="395"/>
        <v>0.96804271102064043</v>
      </c>
      <c r="AE460" s="18">
        <f t="shared" si="396"/>
        <v>0.14365585126864802</v>
      </c>
      <c r="AF460" s="66" t="str">
        <f t="shared" si="397"/>
        <v>-0.166713681722229+0.113933450943056i</v>
      </c>
      <c r="AG460" s="64">
        <f t="shared" si="398"/>
        <v>-13.896136680032638</v>
      </c>
      <c r="AH460" s="61">
        <f t="shared" si="399"/>
        <v>145.65098938922094</v>
      </c>
      <c r="AI460" s="50" t="str">
        <f t="shared" si="379"/>
        <v>107.538871525172</v>
      </c>
      <c r="AJ460" s="50" t="str">
        <f t="shared" si="380"/>
        <v>1+1231.43598881257i</v>
      </c>
      <c r="AK460" s="50">
        <f t="shared" si="400"/>
        <v>1231.43639484254</v>
      </c>
      <c r="AL460" s="50">
        <f t="shared" si="401"/>
        <v>1.5699842668995621</v>
      </c>
      <c r="AM460" s="50" t="str">
        <f t="shared" si="381"/>
        <v>1+1.48738150805596i</v>
      </c>
      <c r="AN460" s="50">
        <f t="shared" si="402"/>
        <v>1.7922900854791397</v>
      </c>
      <c r="AO460" s="50">
        <f t="shared" si="403"/>
        <v>0.97888838570936643</v>
      </c>
      <c r="AP460" s="50" t="str">
        <f t="shared" si="382"/>
        <v>1-4.27647963802323i</v>
      </c>
      <c r="AQ460" s="50">
        <f t="shared" si="404"/>
        <v>4.3918422210306343</v>
      </c>
      <c r="AR460" s="50">
        <f t="shared" si="405"/>
        <v>-1.3410866018716328</v>
      </c>
      <c r="AS460" s="59" t="str">
        <f t="shared" si="406"/>
        <v>-0.24304427553023-0.642997706844547i</v>
      </c>
      <c r="AT460" s="50">
        <f t="shared" si="407"/>
        <v>-3.2558295643823794</v>
      </c>
      <c r="AU460" s="61">
        <f t="shared" si="408"/>
        <v>-110.70590152855048</v>
      </c>
      <c r="AV460" s="32" t="str">
        <f t="shared" si="383"/>
        <v>-0.0000333333333333333</v>
      </c>
      <c r="AW460" s="32" t="str">
        <f t="shared" si="384"/>
        <v>0.0793270137629849i</v>
      </c>
      <c r="AX460" s="32">
        <f t="shared" si="409"/>
        <v>7.9327013762984899E-2</v>
      </c>
      <c r="AY460" s="32">
        <f t="shared" si="410"/>
        <v>1.5707963267948966</v>
      </c>
      <c r="AZ460" s="32" t="str">
        <f t="shared" si="385"/>
        <v>1+32.3643198512177i</v>
      </c>
      <c r="BA460" s="32">
        <f t="shared" si="411"/>
        <v>32.379765277591559</v>
      </c>
      <c r="BB460" s="32">
        <f t="shared" si="412"/>
        <v>1.5399079301485505</v>
      </c>
      <c r="BC460" s="32" t="str">
        <f t="shared" si="386"/>
        <v>1+1553.48735285845i</v>
      </c>
      <c r="BD460" s="32">
        <f t="shared" si="413"/>
        <v>1553.4876747149153</v>
      </c>
      <c r="BE460" s="32">
        <f t="shared" si="414"/>
        <v>1.5701526138866211</v>
      </c>
      <c r="BF460" s="59" t="str">
        <f t="shared" si="415"/>
        <v>-0.000609641593590859+0.0201508370694108i</v>
      </c>
      <c r="BG460" s="50">
        <f t="shared" si="416"/>
        <v>-33.91016489450255</v>
      </c>
      <c r="BH460" s="61">
        <f t="shared" si="417"/>
        <v>91.73289273089938</v>
      </c>
      <c r="BI460" s="59" t="str">
        <f t="shared" si="418"/>
        <v>-0.00219421881211069-0.00342887880822248i</v>
      </c>
      <c r="BJ460" s="64">
        <f t="shared" si="419"/>
        <v>-47.80630157453519</v>
      </c>
      <c r="BK460" s="61">
        <f t="shared" si="420"/>
        <v>-122.61611787987964</v>
      </c>
      <c r="BL460" s="59" t="str">
        <f t="shared" si="425"/>
        <v>0.0131051119260766-0.00450554745018667i</v>
      </c>
      <c r="BM460" s="64">
        <f t="shared" si="421"/>
        <v>-37.165994458884946</v>
      </c>
      <c r="BN460" s="61">
        <f t="shared" si="426"/>
        <v>-18.973008797651115</v>
      </c>
      <c r="BO460" s="50">
        <f t="shared" si="422"/>
        <v>-47.80630157453519</v>
      </c>
      <c r="BP460" s="61">
        <f t="shared" si="423"/>
        <v>-122.61611787987964</v>
      </c>
    </row>
    <row r="461" spans="14:68" x14ac:dyDescent="0.25">
      <c r="N461" s="11">
        <v>43</v>
      </c>
      <c r="O461" s="51">
        <f t="shared" si="424"/>
        <v>269153.48039269145</v>
      </c>
      <c r="P461" s="49" t="str">
        <f t="shared" si="374"/>
        <v>37.1583961085025</v>
      </c>
      <c r="Q461" s="18" t="str">
        <f t="shared" si="375"/>
        <v>1+1325.53323996339i</v>
      </c>
      <c r="R461" s="18">
        <f t="shared" si="387"/>
        <v>1325.5336171700219</v>
      </c>
      <c r="S461" s="18">
        <f t="shared" si="388"/>
        <v>1.5700419135669685</v>
      </c>
      <c r="T461" s="18" t="str">
        <f t="shared" si="376"/>
        <v>1+1.52202707404165i</v>
      </c>
      <c r="U461" s="18">
        <f t="shared" si="389"/>
        <v>1.8211442595565532</v>
      </c>
      <c r="V461" s="18">
        <f t="shared" si="390"/>
        <v>0.98950297425603517</v>
      </c>
      <c r="W461" s="32" t="str">
        <f t="shared" si="377"/>
        <v>1-13.3221409113888i</v>
      </c>
      <c r="X461" s="18">
        <f t="shared" si="391"/>
        <v>13.359619697540015</v>
      </c>
      <c r="Y461" s="18">
        <f t="shared" si="392"/>
        <v>-1.4958738215626262</v>
      </c>
      <c r="Z461" s="32" t="str">
        <f t="shared" si="378"/>
        <v>-0.81108990018747+3.20753113010999i</v>
      </c>
      <c r="AA461" s="18">
        <f t="shared" si="393"/>
        <v>3.3084925233119065</v>
      </c>
      <c r="AB461" s="18">
        <f t="shared" si="394"/>
        <v>1.8184747774938301</v>
      </c>
      <c r="AC461" s="32" t="str">
        <f>IMDIV(IMSUM(COMPLEX(0,2*PI()*O461*Constants!$B$61*Constants!$B$62),COMPLEX(1,0)),IMSUM(COMPLEX(0,2*PI()*O461*Constants!$B$61*Constants!$B$62),COMPLEX(2,0)))</f>
        <v>0.959806538075917+0.135945638328705i</v>
      </c>
      <c r="AD461" s="18">
        <f t="shared" si="395"/>
        <v>0.96938630437709183</v>
      </c>
      <c r="AE461" s="18">
        <f t="shared" si="396"/>
        <v>0.14070266307908613</v>
      </c>
      <c r="AF461" s="66" t="str">
        <f t="shared" si="397"/>
        <v>-0.163496991097582+0.114903128914446i</v>
      </c>
      <c r="AG461" s="64">
        <f t="shared" si="398"/>
        <v>-13.986572393394612</v>
      </c>
      <c r="AH461" s="61">
        <f t="shared" si="399"/>
        <v>144.90105113413298</v>
      </c>
      <c r="AI461" s="50" t="str">
        <f t="shared" si="379"/>
        <v>107.538871525172</v>
      </c>
      <c r="AJ461" s="50" t="str">
        <f t="shared" si="380"/>
        <v>1+1260.11981779423i</v>
      </c>
      <c r="AK461" s="50">
        <f t="shared" si="400"/>
        <v>1260.1202145818324</v>
      </c>
      <c r="AL461" s="50">
        <f t="shared" si="401"/>
        <v>1.5700027516316792</v>
      </c>
      <c r="AM461" s="50" t="str">
        <f t="shared" si="381"/>
        <v>1+1.52202707404165i</v>
      </c>
      <c r="AN461" s="50">
        <f t="shared" si="402"/>
        <v>1.8211442595565532</v>
      </c>
      <c r="AO461" s="50">
        <f t="shared" si="403"/>
        <v>0.98950297425603517</v>
      </c>
      <c r="AP461" s="50" t="str">
        <f t="shared" si="382"/>
        <v>1-4.37609164522052i</v>
      </c>
      <c r="AQ461" s="50">
        <f t="shared" si="404"/>
        <v>4.4888949739739781</v>
      </c>
      <c r="AR461" s="50">
        <f t="shared" si="405"/>
        <v>-1.3461393466896492</v>
      </c>
      <c r="AS461" s="59" t="str">
        <f t="shared" si="406"/>
        <v>-0.243047474469548-0.653944000635072i</v>
      </c>
      <c r="AT461" s="50">
        <f t="shared" si="407"/>
        <v>-3.1272542005615649</v>
      </c>
      <c r="AU461" s="61">
        <f t="shared" si="408"/>
        <v>-110.38829045372309</v>
      </c>
      <c r="AV461" s="32" t="str">
        <f t="shared" si="383"/>
        <v>-0.0000333333333333333</v>
      </c>
      <c r="AW461" s="32" t="str">
        <f t="shared" si="384"/>
        <v>0.0811747772822212i</v>
      </c>
      <c r="AX461" s="32">
        <f t="shared" si="409"/>
        <v>8.1174777282221194E-2</v>
      </c>
      <c r="AY461" s="32">
        <f t="shared" si="410"/>
        <v>1.5707963267948966</v>
      </c>
      <c r="AZ461" s="32" t="str">
        <f t="shared" si="385"/>
        <v>1+33.1181817036841i</v>
      </c>
      <c r="BA461" s="32">
        <f t="shared" si="411"/>
        <v>33.133275711257959</v>
      </c>
      <c r="BB461" s="32">
        <f t="shared" si="412"/>
        <v>1.5406106039029361</v>
      </c>
      <c r="BC461" s="32" t="str">
        <f t="shared" si="386"/>
        <v>1+1589.67272177684i</v>
      </c>
      <c r="BD461" s="32">
        <f t="shared" si="413"/>
        <v>1589.6730363069591</v>
      </c>
      <c r="BE461" s="32">
        <f t="shared" si="414"/>
        <v>1.5701672665774093</v>
      </c>
      <c r="BF461" s="59" t="str">
        <f t="shared" si="415"/>
        <v>-0.000582228195672056+0.0196929757623003i</v>
      </c>
      <c r="BG461" s="50">
        <f t="shared" si="416"/>
        <v>-34.109978539271474</v>
      </c>
      <c r="BH461" s="61">
        <f t="shared" si="417"/>
        <v>91.693472027739162</v>
      </c>
      <c r="BI461" s="59" t="str">
        <f t="shared" si="418"/>
        <v>-0.0021675919746001-0.00328664212431864i</v>
      </c>
      <c r="BJ461" s="64">
        <f t="shared" si="419"/>
        <v>-48.096550932666077</v>
      </c>
      <c r="BK461" s="61">
        <f t="shared" si="420"/>
        <v>-123.4054768381279</v>
      </c>
      <c r="BL461" s="59" t="str">
        <f t="shared" si="425"/>
        <v>0.0130196124469312-0.00440558338825679i</v>
      </c>
      <c r="BM461" s="64">
        <f t="shared" si="421"/>
        <v>-37.237232739833047</v>
      </c>
      <c r="BN461" s="61">
        <f t="shared" si="426"/>
        <v>-18.694818425983961</v>
      </c>
      <c r="BO461" s="50">
        <f t="shared" si="422"/>
        <v>-48.096550932666077</v>
      </c>
      <c r="BP461" s="61">
        <f t="shared" si="423"/>
        <v>-123.4054768381279</v>
      </c>
    </row>
    <row r="462" spans="14:68" x14ac:dyDescent="0.25">
      <c r="N462" s="11">
        <v>44</v>
      </c>
      <c r="O462" s="51">
        <f t="shared" si="424"/>
        <v>275422.87033381703</v>
      </c>
      <c r="P462" s="49" t="str">
        <f t="shared" si="374"/>
        <v>37.1583961085025</v>
      </c>
      <c r="Q462" s="18" t="str">
        <f t="shared" si="375"/>
        <v>1+1356.40887548974i</v>
      </c>
      <c r="R462" s="18">
        <f t="shared" si="387"/>
        <v>1356.4092441101029</v>
      </c>
      <c r="S462" s="18">
        <f t="shared" si="388"/>
        <v>1.5700590861022889</v>
      </c>
      <c r="T462" s="18" t="str">
        <f t="shared" si="376"/>
        <v>1+1.5574796389284i</v>
      </c>
      <c r="U462" s="18">
        <f t="shared" si="389"/>
        <v>1.8508762318633136</v>
      </c>
      <c r="V462" s="18">
        <f t="shared" si="390"/>
        <v>1.0000209930016548</v>
      </c>
      <c r="W462" s="32" t="str">
        <f t="shared" si="377"/>
        <v>1-13.6324534368009i</v>
      </c>
      <c r="X462" s="18">
        <f t="shared" si="391"/>
        <v>13.669081414145747</v>
      </c>
      <c r="Y462" s="18">
        <f t="shared" si="392"/>
        <v>-1.4975731060355406</v>
      </c>
      <c r="Z462" s="32" t="str">
        <f t="shared" si="378"/>
        <v>-0.89644393757297+3.28224412796393i</v>
      </c>
      <c r="AA462" s="18">
        <f t="shared" si="393"/>
        <v>3.4024606167838343</v>
      </c>
      <c r="AB462" s="18">
        <f t="shared" si="394"/>
        <v>1.8374131468511623</v>
      </c>
      <c r="AC462" s="32" t="str">
        <f>IMDIV(IMSUM(COMPLEX(0,2*PI()*O462*Constants!$B$61*Constants!$B$62),COMPLEX(1,0)),IMSUM(COMPLEX(0,2*PI()*O462*Constants!$B$61*Constants!$B$62),COMPLEX(2,0)))</f>
        <v>0.961476162319995+0.133333539555533i</v>
      </c>
      <c r="AD462" s="18">
        <f t="shared" si="395"/>
        <v>0.97067720869503893</v>
      </c>
      <c r="AE462" s="18">
        <f t="shared" si="396"/>
        <v>0.13779702628510451</v>
      </c>
      <c r="AF462" s="66" t="str">
        <f t="shared" si="397"/>
        <v>-0.16027535969739+0.115790920518408i</v>
      </c>
      <c r="AG462" s="64">
        <f t="shared" si="398"/>
        <v>-14.078706932498291</v>
      </c>
      <c r="AH462" s="61">
        <f t="shared" si="399"/>
        <v>144.15377411468091</v>
      </c>
      <c r="AI462" s="50" t="str">
        <f t="shared" si="379"/>
        <v>107.538871525172</v>
      </c>
      <c r="AJ462" s="50" t="str">
        <f t="shared" si="380"/>
        <v>1+1289.47177898294i</v>
      </c>
      <c r="AK462" s="50">
        <f t="shared" si="400"/>
        <v>1289.4721667385563</v>
      </c>
      <c r="AL462" s="50">
        <f t="shared" si="401"/>
        <v>1.5700208156004476</v>
      </c>
      <c r="AM462" s="50" t="str">
        <f t="shared" si="381"/>
        <v>1+1.5574796389284i</v>
      </c>
      <c r="AN462" s="50">
        <f t="shared" si="402"/>
        <v>1.8508762318633136</v>
      </c>
      <c r="AO462" s="50">
        <f t="shared" si="403"/>
        <v>1.0000209930016548</v>
      </c>
      <c r="AP462" s="50" t="str">
        <f t="shared" si="382"/>
        <v>1-4.47802391413252i</v>
      </c>
      <c r="AQ462" s="50">
        <f t="shared" si="404"/>
        <v>4.5883219346012263</v>
      </c>
      <c r="AR462" s="50">
        <f t="shared" si="405"/>
        <v>-1.3510883772734381</v>
      </c>
      <c r="AS462" s="59" t="str">
        <f t="shared" si="406"/>
        <v>-0.243050529433057-0.66523702396213i</v>
      </c>
      <c r="AT462" s="50">
        <f t="shared" si="407"/>
        <v>-2.9963047391238491</v>
      </c>
      <c r="AU462" s="61">
        <f t="shared" si="408"/>
        <v>-110.0702459250635</v>
      </c>
      <c r="AV462" s="32" t="str">
        <f t="shared" si="383"/>
        <v>-0.0000333333333333333</v>
      </c>
      <c r="AW462" s="32" t="str">
        <f t="shared" si="384"/>
        <v>0.083065580742848i</v>
      </c>
      <c r="AX462" s="32">
        <f t="shared" si="409"/>
        <v>8.3065580742848005E-2</v>
      </c>
      <c r="AY462" s="32">
        <f t="shared" si="410"/>
        <v>1.5707963267948966</v>
      </c>
      <c r="AZ462" s="32" t="str">
        <f t="shared" si="385"/>
        <v>1+33.8896032544607i</v>
      </c>
      <c r="BA462" s="32">
        <f t="shared" si="411"/>
        <v>33.904353831694735</v>
      </c>
      <c r="BB462" s="32">
        <f t="shared" si="412"/>
        <v>1.5412973116633157</v>
      </c>
      <c r="BC462" s="32" t="str">
        <f t="shared" si="386"/>
        <v>1+1626.70095621411i</v>
      </c>
      <c r="BD462" s="32">
        <f t="shared" si="413"/>
        <v>1626.7012635846511</v>
      </c>
      <c r="BE462" s="32">
        <f t="shared" si="414"/>
        <v>1.5701815857324961</v>
      </c>
      <c r="BF462" s="59" t="str">
        <f t="shared" si="415"/>
        <v>-0.000556046406643703+0.0192454814673962i</v>
      </c>
      <c r="BG462" s="50">
        <f t="shared" si="416"/>
        <v>-34.30980056393598</v>
      </c>
      <c r="BH462" s="61">
        <f t="shared" si="417"/>
        <v>91.654946998463188</v>
      </c>
      <c r="BI462" s="59" t="str">
        <f t="shared" si="418"/>
        <v>-0.00213933147709651-0.00314896159001261i</v>
      </c>
      <c r="BJ462" s="64">
        <f t="shared" si="419"/>
        <v>-48.388507496434258</v>
      </c>
      <c r="BK462" s="61">
        <f t="shared" si="420"/>
        <v>-124.19127888685591</v>
      </c>
      <c r="BL462" s="59" t="str">
        <f t="shared" si="425"/>
        <v>0.0129379541896131-0.00430772180310424i</v>
      </c>
      <c r="BM462" s="64">
        <f t="shared" si="421"/>
        <v>-37.306105303059809</v>
      </c>
      <c r="BN462" s="61">
        <f t="shared" si="426"/>
        <v>-18.415298926600286</v>
      </c>
      <c r="BO462" s="50">
        <f t="shared" si="422"/>
        <v>-48.388507496434258</v>
      </c>
      <c r="BP462" s="61">
        <f t="shared" si="423"/>
        <v>-124.19127888685591</v>
      </c>
    </row>
    <row r="463" spans="14:68" x14ac:dyDescent="0.25">
      <c r="N463" s="11">
        <v>45</v>
      </c>
      <c r="O463" s="51">
        <f t="shared" si="424"/>
        <v>281838.29312644573</v>
      </c>
      <c r="P463" s="49" t="str">
        <f t="shared" si="374"/>
        <v>37.1583961085025</v>
      </c>
      <c r="Q463" s="18" t="str">
        <f t="shared" si="375"/>
        <v>1+1388.00369695607i</v>
      </c>
      <c r="R463" s="18">
        <f t="shared" si="387"/>
        <v>1388.0040571856111</v>
      </c>
      <c r="S463" s="18">
        <f t="shared" si="388"/>
        <v>1.5700758677434024</v>
      </c>
      <c r="T463" s="18" t="str">
        <f t="shared" si="376"/>
        <v>1+1.5937580001354i</v>
      </c>
      <c r="U463" s="18">
        <f t="shared" si="389"/>
        <v>1.8815059295669492</v>
      </c>
      <c r="V463" s="18">
        <f t="shared" si="390"/>
        <v>1.0104387097822312</v>
      </c>
      <c r="W463" s="32" t="str">
        <f t="shared" si="377"/>
        <v>1-13.9499940694721i</v>
      </c>
      <c r="X463" s="18">
        <f t="shared" si="391"/>
        <v>13.985790450965109</v>
      </c>
      <c r="Y463" s="18">
        <f t="shared" si="392"/>
        <v>-1.4992341195205752</v>
      </c>
      <c r="Z463" s="32" t="str">
        <f t="shared" si="378"/>
        <v>-0.98582058681071+3.35869741510014i</v>
      </c>
      <c r="AA463" s="18">
        <f t="shared" si="393"/>
        <v>3.5003843439799827</v>
      </c>
      <c r="AB463" s="18">
        <f t="shared" si="394"/>
        <v>1.8562909606868538</v>
      </c>
      <c r="AC463" s="32" t="str">
        <f>IMDIV(IMSUM(COMPLEX(0,2*PI()*O463*Constants!$B$61*Constants!$B$62),COMPLEX(1,0)),IMSUM(COMPLEX(0,2*PI()*O463*Constants!$B$61*Constants!$B$62),COMPLEX(2,0)))</f>
        <v>0.963081999466437+0.130751908220818i</v>
      </c>
      <c r="AD463" s="18">
        <f t="shared" si="395"/>
        <v>0.97191717712964387</v>
      </c>
      <c r="AE463" s="18">
        <f t="shared" si="396"/>
        <v>0.13493902163512025</v>
      </c>
      <c r="AF463" s="66" t="str">
        <f t="shared" si="397"/>
        <v>-0.157051017250047+0.116597409568781i</v>
      </c>
      <c r="AG463" s="64">
        <f t="shared" si="398"/>
        <v>-14.172552847440995</v>
      </c>
      <c r="AH463" s="61">
        <f t="shared" si="399"/>
        <v>143.40916407526279</v>
      </c>
      <c r="AI463" s="50" t="str">
        <f t="shared" si="379"/>
        <v>107.538871525172</v>
      </c>
      <c r="AJ463" s="50" t="str">
        <f t="shared" si="380"/>
        <v>1+1319.50743517703i</v>
      </c>
      <c r="AK463" s="50">
        <f t="shared" si="400"/>
        <v>1319.5078141062536</v>
      </c>
      <c r="AL463" s="50">
        <f t="shared" si="401"/>
        <v>1.5700384683835751</v>
      </c>
      <c r="AM463" s="50" t="str">
        <f t="shared" si="381"/>
        <v>1+1.5937580001354i</v>
      </c>
      <c r="AN463" s="50">
        <f t="shared" si="402"/>
        <v>1.8815059295669492</v>
      </c>
      <c r="AO463" s="50">
        <f t="shared" si="403"/>
        <v>1.0104387097822312</v>
      </c>
      <c r="AP463" s="50" t="str">
        <f t="shared" si="382"/>
        <v>1-4.58233049059744i</v>
      </c>
      <c r="AQ463" s="50">
        <f t="shared" si="404"/>
        <v>4.6901761933917765</v>
      </c>
      <c r="AR463" s="50">
        <f t="shared" si="405"/>
        <v>-1.355935347497228</v>
      </c>
      <c r="AS463" s="59" t="str">
        <f t="shared" si="406"/>
        <v>-0.243053446900723-0.67688276455144i</v>
      </c>
      <c r="AT463" s="50">
        <f t="shared" si="407"/>
        <v>-2.863034846893294</v>
      </c>
      <c r="AU463" s="61">
        <f t="shared" si="408"/>
        <v>-109.75207708859256</v>
      </c>
      <c r="AV463" s="32" t="str">
        <f t="shared" si="383"/>
        <v>-0.0000333333333333333</v>
      </c>
      <c r="AW463" s="32" t="str">
        <f t="shared" si="384"/>
        <v>0.0850004266738876i</v>
      </c>
      <c r="AX463" s="32">
        <f t="shared" si="409"/>
        <v>8.5000426673887602E-2</v>
      </c>
      <c r="AY463" s="32">
        <f t="shared" si="410"/>
        <v>1.5707963267948966</v>
      </c>
      <c r="AZ463" s="32" t="str">
        <f t="shared" si="385"/>
        <v>1+34.6789935214646i</v>
      </c>
      <c r="BA463" s="32">
        <f t="shared" si="411"/>
        <v>34.693408475700153</v>
      </c>
      <c r="BB463" s="32">
        <f t="shared" si="412"/>
        <v>1.5419684149391188</v>
      </c>
      <c r="BC463" s="32" t="str">
        <f t="shared" si="386"/>
        <v>1+1664.5916890303i</v>
      </c>
      <c r="BD463" s="32">
        <f t="shared" si="413"/>
        <v>1664.5919894042343</v>
      </c>
      <c r="BE463" s="32">
        <f t="shared" si="414"/>
        <v>1.5701955789440629</v>
      </c>
      <c r="BF463" s="59" t="str">
        <f t="shared" si="415"/>
        <v>-0.000531040988062866+0.0188081218789123i</v>
      </c>
      <c r="BG463" s="50">
        <f t="shared" si="416"/>
        <v>-34.509630591995304</v>
      </c>
      <c r="BH463" s="61">
        <f t="shared" si="417"/>
        <v>91.617297365106893</v>
      </c>
      <c r="BI463" s="59" t="str">
        <f t="shared" si="418"/>
        <v>-0.00210957776255835-0.00301575267722902i</v>
      </c>
      <c r="BJ463" s="64">
        <f t="shared" si="419"/>
        <v>-48.682183439436287</v>
      </c>
      <c r="BK463" s="61">
        <f t="shared" si="420"/>
        <v>-124.97353855963036</v>
      </c>
      <c r="BL463" s="59" t="str">
        <f t="shared" si="425"/>
        <v>0.0128599648760128-0.00421192636030842i</v>
      </c>
      <c r="BM463" s="64">
        <f t="shared" si="421"/>
        <v>-37.372665438888617</v>
      </c>
      <c r="BN463" s="61">
        <f t="shared" si="426"/>
        <v>-18.134779723485725</v>
      </c>
      <c r="BO463" s="50">
        <f t="shared" si="422"/>
        <v>-48.682183439436287</v>
      </c>
      <c r="BP463" s="61">
        <f t="shared" si="423"/>
        <v>-124.97353855963036</v>
      </c>
    </row>
    <row r="464" spans="14:68" x14ac:dyDescent="0.25">
      <c r="N464" s="11">
        <v>46</v>
      </c>
      <c r="O464" s="51">
        <f t="shared" si="424"/>
        <v>288403.1503126609</v>
      </c>
      <c r="P464" s="49" t="str">
        <f t="shared" si="374"/>
        <v>37.1583961085025</v>
      </c>
      <c r="Q464" s="18" t="str">
        <f t="shared" si="375"/>
        <v>1+1420.33445635493i</v>
      </c>
      <c r="R464" s="18">
        <f t="shared" si="387"/>
        <v>1420.3348083846479</v>
      </c>
      <c r="S464" s="18">
        <f t="shared" si="388"/>
        <v>1.5700922673881192</v>
      </c>
      <c r="T464" s="18" t="str">
        <f t="shared" si="376"/>
        <v>1+1.63088139292994i</v>
      </c>
      <c r="U464" s="18">
        <f t="shared" si="389"/>
        <v>1.9130536108026615</v>
      </c>
      <c r="V464" s="18">
        <f t="shared" si="390"/>
        <v>1.0207526029421325</v>
      </c>
      <c r="W464" s="32" t="str">
        <f t="shared" si="377"/>
        <v>1-14.2749311736489i</v>
      </c>
      <c r="X464" s="18">
        <f t="shared" si="391"/>
        <v>14.309914745113375</v>
      </c>
      <c r="Y464" s="18">
        <f t="shared" si="392"/>
        <v>-1.5008577060270745</v>
      </c>
      <c r="Z464" s="32" t="str">
        <f t="shared" si="378"/>
        <v>-1.07940942775669+3.43693152806346i</v>
      </c>
      <c r="AA464" s="18">
        <f t="shared" si="393"/>
        <v>3.6024468131155882</v>
      </c>
      <c r="AB464" s="18">
        <f t="shared" si="394"/>
        <v>1.8751035508485741</v>
      </c>
      <c r="AC464" s="32" t="str">
        <f>IMDIV(IMSUM(COMPLEX(0,2*PI()*O464*Constants!$B$61*Constants!$B$62),COMPLEX(1,0)),IMSUM(COMPLEX(0,2*PI()*O464*Constants!$B$61*Constants!$B$62),COMPLEX(2,0)))</f>
        <v>0.964626029572023+0.128201667033424i</v>
      </c>
      <c r="AD464" s="18">
        <f t="shared" si="395"/>
        <v>0.97310793047741329</v>
      </c>
      <c r="AE464" s="18">
        <f t="shared" si="396"/>
        <v>0.13212866522644712</v>
      </c>
      <c r="AF464" s="66" t="str">
        <f t="shared" si="397"/>
        <v>-0.153826185563972+0.117323211664845i</v>
      </c>
      <c r="AG464" s="64">
        <f t="shared" si="398"/>
        <v>-14.268122981680435</v>
      </c>
      <c r="AH464" s="61">
        <f t="shared" si="399"/>
        <v>142.66723875962913</v>
      </c>
      <c r="AI464" s="50" t="str">
        <f t="shared" si="379"/>
        <v>107.538871525172</v>
      </c>
      <c r="AJ464" s="50" t="str">
        <f t="shared" si="380"/>
        <v>1+1350.24271167901i</v>
      </c>
      <c r="AK464" s="50">
        <f t="shared" si="400"/>
        <v>1350.2430819827541</v>
      </c>
      <c r="AL464" s="50">
        <f t="shared" si="401"/>
        <v>1.5700557193407572</v>
      </c>
      <c r="AM464" s="50" t="str">
        <f t="shared" si="381"/>
        <v>1+1.63088139292994i</v>
      </c>
      <c r="AN464" s="50">
        <f t="shared" si="402"/>
        <v>1.9130536108026615</v>
      </c>
      <c r="AO464" s="50">
        <f t="shared" si="403"/>
        <v>1.0207526029421325</v>
      </c>
      <c r="AP464" s="50" t="str">
        <f t="shared" si="382"/>
        <v>1-4.68906667934279i</v>
      </c>
      <c r="AQ464" s="50">
        <f t="shared" si="404"/>
        <v>4.7945121048259773</v>
      </c>
      <c r="AR464" s="50">
        <f t="shared" si="405"/>
        <v>-1.3606819159088939</v>
      </c>
      <c r="AS464" s="59" t="str">
        <f t="shared" si="406"/>
        <v>-0.243056233060859-0.688887397143029i</v>
      </c>
      <c r="AT464" s="50">
        <f t="shared" si="407"/>
        <v>-2.7274985167323864</v>
      </c>
      <c r="AU464" s="61">
        <f t="shared" si="408"/>
        <v>-109.43408128437898</v>
      </c>
      <c r="AV464" s="32" t="str">
        <f t="shared" si="383"/>
        <v>-0.0000333333333333333</v>
      </c>
      <c r="AW464" s="32" t="str">
        <f t="shared" si="384"/>
        <v>0.0869803409562632i</v>
      </c>
      <c r="AX464" s="32">
        <f t="shared" si="409"/>
        <v>8.6980340956263197E-2</v>
      </c>
      <c r="AY464" s="32">
        <f t="shared" si="410"/>
        <v>1.5707963267948966</v>
      </c>
      <c r="AZ464" s="32" t="str">
        <f t="shared" si="385"/>
        <v>1+35.4867710498644i</v>
      </c>
      <c r="BA464" s="32">
        <f t="shared" si="411"/>
        <v>35.500858011398741</v>
      </c>
      <c r="BB464" s="32">
        <f t="shared" si="412"/>
        <v>1.5426242671387917</v>
      </c>
      <c r="BC464" s="32" t="str">
        <f t="shared" si="386"/>
        <v>1+1703.3650103935i</v>
      </c>
      <c r="BD464" s="32">
        <f t="shared" si="413"/>
        <v>1703.36530393009</v>
      </c>
      <c r="BE464" s="32">
        <f t="shared" si="414"/>
        <v>1.570209253631474</v>
      </c>
      <c r="BF464" s="59" t="str">
        <f t="shared" si="415"/>
        <v>-0.00050715917066818+0.0183806697343799i</v>
      </c>
      <c r="BG464" s="50">
        <f t="shared" si="416"/>
        <v>-34.709468263836627</v>
      </c>
      <c r="BH464" s="61">
        <f t="shared" si="417"/>
        <v>91.580503303956093</v>
      </c>
      <c r="BI464" s="59" t="str">
        <f t="shared" si="418"/>
        <v>-0.00207846484509059-0.00288692985607888i</v>
      </c>
      <c r="BJ464" s="64">
        <f t="shared" si="419"/>
        <v>-48.977591245517054</v>
      </c>
      <c r="BK464" s="61">
        <f t="shared" si="420"/>
        <v>-125.75225793641476</v>
      </c>
      <c r="BL464" s="59" t="str">
        <f t="shared" si="425"/>
        <v>0.0127854799286475-0.0041181607857553i</v>
      </c>
      <c r="BM464" s="64">
        <f t="shared" si="421"/>
        <v>-37.436966780569009</v>
      </c>
      <c r="BN464" s="61">
        <f t="shared" si="426"/>
        <v>-17.853577980422902</v>
      </c>
      <c r="BO464" s="50">
        <f t="shared" si="422"/>
        <v>-48.977591245517054</v>
      </c>
      <c r="BP464" s="61">
        <f t="shared" si="423"/>
        <v>-125.75225793641476</v>
      </c>
    </row>
    <row r="465" spans="14:68" x14ac:dyDescent="0.25">
      <c r="N465" s="11">
        <v>47</v>
      </c>
      <c r="O465" s="51">
        <f t="shared" si="424"/>
        <v>295120.92266663886</v>
      </c>
      <c r="P465" s="49" t="str">
        <f t="shared" si="374"/>
        <v>37.1583961085025</v>
      </c>
      <c r="Q465" s="18" t="str">
        <f t="shared" si="375"/>
        <v>1+1453.41829588289i</v>
      </c>
      <c r="R465" s="18">
        <f t="shared" si="387"/>
        <v>1453.4186398994352</v>
      </c>
      <c r="S465" s="18">
        <f t="shared" si="388"/>
        <v>1.570108293731713</v>
      </c>
      <c r="T465" s="18" t="str">
        <f t="shared" si="376"/>
        <v>1+1.66886950062628i</v>
      </c>
      <c r="U465" s="18">
        <f t="shared" si="389"/>
        <v>1.9455398762607281</v>
      </c>
      <c r="V465" s="18">
        <f t="shared" si="390"/>
        <v>1.0309593634335077</v>
      </c>
      <c r="W465" s="32" t="str">
        <f t="shared" si="377"/>
        <v>1-14.6074370352849i</v>
      </c>
      <c r="X465" s="18">
        <f t="shared" si="391"/>
        <v>14.641626164460453</v>
      </c>
      <c r="Y465" s="18">
        <f t="shared" si="392"/>
        <v>-1.5024446921442531</v>
      </c>
      <c r="Z465" s="32" t="str">
        <f t="shared" si="378"/>
        <v>-1.17740897489021+3.51698794761612i</v>
      </c>
      <c r="AA465" s="18">
        <f t="shared" si="393"/>
        <v>3.7088402658821882</v>
      </c>
      <c r="AB465" s="18">
        <f t="shared" si="394"/>
        <v>1.8938462062313899</v>
      </c>
      <c r="AC465" s="32" t="str">
        <f>IMDIV(IMSUM(COMPLEX(0,2*PI()*O465*Constants!$B$61*Constants!$B$62),COMPLEX(1,0)),IMSUM(COMPLEX(0,2*PI()*O465*Constants!$B$61*Constants!$B$62),COMPLEX(2,0)))</f>
        <v>0.966110209246107+0.125683640381729i</v>
      </c>
      <c r="AD465" s="18">
        <f t="shared" si="395"/>
        <v>0.97425115543640006</v>
      </c>
      <c r="AE465" s="18">
        <f t="shared" si="396"/>
        <v>0.12936591275891529</v>
      </c>
      <c r="AF465" s="66" t="str">
        <f t="shared" si="397"/>
        <v>-0.150603080994319+0.117968978039282i</v>
      </c>
      <c r="AG465" s="64">
        <f t="shared" si="398"/>
        <v>-14.365430294807728</v>
      </c>
      <c r="AH465" s="61">
        <f t="shared" si="399"/>
        <v>141.92802810324434</v>
      </c>
      <c r="AI465" s="50" t="str">
        <f t="shared" si="379"/>
        <v>107.538871525172</v>
      </c>
      <c r="AJ465" s="50" t="str">
        <f t="shared" si="380"/>
        <v>1+1381.69390473929i</v>
      </c>
      <c r="AK465" s="50">
        <f t="shared" si="400"/>
        <v>1381.6942666138941</v>
      </c>
      <c r="AL465" s="50">
        <f t="shared" si="401"/>
        <v>1.5700725776186386</v>
      </c>
      <c r="AM465" s="50" t="str">
        <f t="shared" si="381"/>
        <v>1+1.66886950062628i</v>
      </c>
      <c r="AN465" s="50">
        <f t="shared" si="402"/>
        <v>1.9455398762607281</v>
      </c>
      <c r="AO465" s="50">
        <f t="shared" si="403"/>
        <v>1.0309593634335077</v>
      </c>
      <c r="AP465" s="50" t="str">
        <f t="shared" si="382"/>
        <v>1-4.79828907330866i</v>
      </c>
      <c r="AQ465" s="50">
        <f t="shared" si="404"/>
        <v>4.9013853175437339</v>
      </c>
      <c r="AR465" s="50">
        <f t="shared" si="405"/>
        <v>-1.3653297432886533</v>
      </c>
      <c r="AS465" s="59" t="str">
        <f t="shared" si="406"/>
        <v>-0.243058893823268-0.701257286765298i</v>
      </c>
      <c r="AT465" s="50">
        <f t="shared" si="407"/>
        <v>-2.5897499704323708</v>
      </c>
      <c r="AU465" s="61">
        <f t="shared" si="408"/>
        <v>-109.11654378666037</v>
      </c>
      <c r="AV465" s="32" t="str">
        <f t="shared" si="383"/>
        <v>-0.0000333333333333333</v>
      </c>
      <c r="AW465" s="32" t="str">
        <f t="shared" si="384"/>
        <v>0.0890063733667348i</v>
      </c>
      <c r="AX465" s="32">
        <f t="shared" si="409"/>
        <v>8.9006373366734795E-2</v>
      </c>
      <c r="AY465" s="32">
        <f t="shared" si="410"/>
        <v>1.5707963267948966</v>
      </c>
      <c r="AZ465" s="32" t="str">
        <f t="shared" si="385"/>
        <v>1+36.3133641339978i</v>
      </c>
      <c r="BA465" s="32">
        <f t="shared" si="411"/>
        <v>36.327130560069257</v>
      </c>
      <c r="BB465" s="32">
        <f t="shared" si="412"/>
        <v>1.543265213745683</v>
      </c>
      <c r="BC465" s="32" t="str">
        <f t="shared" si="386"/>
        <v>1+1743.0414784319i</v>
      </c>
      <c r="BD465" s="32">
        <f t="shared" si="413"/>
        <v>1743.0417652867829</v>
      </c>
      <c r="BE465" s="32">
        <f t="shared" si="414"/>
        <v>1.5702226170452094</v>
      </c>
      <c r="BF465" s="59" t="str">
        <f t="shared" si="415"/>
        <v>-0.000484350544736416+0.0179629027160925i</v>
      </c>
      <c r="BG465" s="50">
        <f t="shared" si="416"/>
        <v>-34.909313235979496</v>
      </c>
      <c r="BH465" s="61">
        <f t="shared" si="417"/>
        <v>91.5445454356949</v>
      </c>
      <c r="BI465" s="59" t="str">
        <f t="shared" si="418"/>
        <v>-0.00204612059171789-0.00276240683142008i</v>
      </c>
      <c r="BJ465" s="64">
        <f t="shared" si="419"/>
        <v>-49.274743530787227</v>
      </c>
      <c r="BK465" s="61">
        <f t="shared" si="420"/>
        <v>-126.52742646106063</v>
      </c>
      <c r="BL465" s="59" t="str">
        <f t="shared" si="425"/>
        <v>0.0127143421287424-0.00402638891518327i</v>
      </c>
      <c r="BM465" s="64">
        <f t="shared" si="421"/>
        <v>-37.499063206411847</v>
      </c>
      <c r="BN465" s="61">
        <f t="shared" si="426"/>
        <v>-17.57199835096543</v>
      </c>
      <c r="BO465" s="50">
        <f t="shared" si="422"/>
        <v>-49.274743530787227</v>
      </c>
      <c r="BP465" s="61">
        <f t="shared" si="423"/>
        <v>-126.52742646106063</v>
      </c>
    </row>
    <row r="466" spans="14:68" x14ac:dyDescent="0.25">
      <c r="N466" s="11">
        <v>48</v>
      </c>
      <c r="O466" s="51">
        <f t="shared" si="424"/>
        <v>301995.17204020242</v>
      </c>
      <c r="P466" s="49" t="str">
        <f t="shared" si="374"/>
        <v>37.1583961085025</v>
      </c>
      <c r="Q466" s="18" t="str">
        <f t="shared" si="375"/>
        <v>1+1487.2727570296i</v>
      </c>
      <c r="R466" s="18">
        <f t="shared" si="387"/>
        <v>1487.2730932153743</v>
      </c>
      <c r="S466" s="18">
        <f t="shared" si="388"/>
        <v>1.57012395527153</v>
      </c>
      <c r="T466" s="18" t="str">
        <f t="shared" si="376"/>
        <v>1+1.70774246502195i</v>
      </c>
      <c r="U466" s="18">
        <f t="shared" si="389"/>
        <v>1.9789856813123348</v>
      </c>
      <c r="V466" s="18">
        <f t="shared" si="390"/>
        <v>1.0410558960054301</v>
      </c>
      <c r="W466" s="32" t="str">
        <f t="shared" si="377"/>
        <v>1-14.9476879533894i</v>
      </c>
      <c r="X466" s="18">
        <f t="shared" si="391"/>
        <v>14.981100598817916</v>
      </c>
      <c r="Y466" s="18">
        <f t="shared" si="392"/>
        <v>-1.5039958873202783</v>
      </c>
      <c r="Z466" s="32" t="str">
        <f t="shared" si="378"/>
        <v>-1.28002709838978+3.59890912073145i</v>
      </c>
      <c r="AA466" s="18">
        <f t="shared" si="393"/>
        <v>3.819766515364019</v>
      </c>
      <c r="AB466" s="18">
        <f t="shared" si="394"/>
        <v>1.9125141764746634</v>
      </c>
      <c r="AC466" s="32" t="str">
        <f>IMDIV(IMSUM(COMPLEX(0,2*PI()*O466*Constants!$B$61*Constants!$B$62),COMPLEX(1,0)),IMSUM(COMPLEX(0,2*PI()*O466*Constants!$B$61*Constants!$B$62),COMPLEX(2,0)))</f>
        <v>0.967536468368287+0.123198558960132i</v>
      </c>
      <c r="AD466" s="18">
        <f t="shared" si="395"/>
        <v>0.97534850312717991</v>
      </c>
      <c r="AE466" s="18">
        <f t="shared" si="396"/>
        <v>0.12665066363244282</v>
      </c>
      <c r="AF466" s="66" t="str">
        <f t="shared" si="397"/>
        <v>-0.147383916081973+0.118535399780486i</v>
      </c>
      <c r="AG466" s="64">
        <f t="shared" si="398"/>
        <v>-14.464487685702142</v>
      </c>
      <c r="AH466" s="61">
        <f t="shared" si="399"/>
        <v>141.19157430812331</v>
      </c>
      <c r="AI466" s="50" t="str">
        <f t="shared" si="379"/>
        <v>107.538871525172</v>
      </c>
      <c r="AJ466" s="50" t="str">
        <f t="shared" si="380"/>
        <v>1+1413.87769019675i</v>
      </c>
      <c r="AK466" s="50">
        <f t="shared" si="400"/>
        <v>1413.8780438340843</v>
      </c>
      <c r="AL466" s="50">
        <f t="shared" si="401"/>
        <v>1.5700890521556632</v>
      </c>
      <c r="AM466" s="50" t="str">
        <f t="shared" si="381"/>
        <v>1+1.70774246502195i</v>
      </c>
      <c r="AN466" s="50">
        <f t="shared" si="402"/>
        <v>1.9789856813123348</v>
      </c>
      <c r="AO466" s="50">
        <f t="shared" si="403"/>
        <v>1.0410558960054301</v>
      </c>
      <c r="AP466" s="50" t="str">
        <f t="shared" si="382"/>
        <v>1-4.91005558365407i</v>
      </c>
      <c r="AQ466" s="50">
        <f t="shared" si="404"/>
        <v>5.0108528051193542</v>
      </c>
      <c r="AR466" s="50">
        <f t="shared" si="405"/>
        <v>-1.3698804903714097</v>
      </c>
      <c r="AS466" s="59" t="str">
        <f t="shared" si="406"/>
        <v>-0.243061434831764-0.713998992109857i</v>
      </c>
      <c r="AT466" s="50">
        <f t="shared" si="407"/>
        <v>-2.44984356299803</v>
      </c>
      <c r="AU466" s="61">
        <f t="shared" si="408"/>
        <v>-108.79973760548717</v>
      </c>
      <c r="AV466" s="32" t="str">
        <f t="shared" si="383"/>
        <v>-0.0000333333333333333</v>
      </c>
      <c r="AW466" s="32" t="str">
        <f t="shared" si="384"/>
        <v>0.0910795981345042i</v>
      </c>
      <c r="AX466" s="32">
        <f t="shared" si="409"/>
        <v>9.1079598134504197E-2</v>
      </c>
      <c r="AY466" s="32">
        <f t="shared" si="410"/>
        <v>1.5707963267948966</v>
      </c>
      <c r="AZ466" s="32" t="str">
        <f t="shared" si="385"/>
        <v>1+37.1592110444592i</v>
      </c>
      <c r="BA466" s="32">
        <f t="shared" si="411"/>
        <v>37.17266422314465</v>
      </c>
      <c r="BB466" s="32">
        <f t="shared" si="412"/>
        <v>1.5438915924904903</v>
      </c>
      <c r="BC466" s="32" t="str">
        <f t="shared" si="386"/>
        <v>1+1783.64213013404i</v>
      </c>
      <c r="BD466" s="32">
        <f t="shared" si="413"/>
        <v>1783.6424104593091</v>
      </c>
      <c r="BE466" s="32">
        <f t="shared" si="414"/>
        <v>1.5702356762707086</v>
      </c>
      <c r="BF466" s="59" t="str">
        <f t="shared" si="415"/>
        <v>-0.00046256695524337+0.0175546033537168i</v>
      </c>
      <c r="BG466" s="50">
        <f t="shared" si="416"/>
        <v>-35.109165180354779</v>
      </c>
      <c r="BH466" s="61">
        <f t="shared" si="417"/>
        <v>91.50940481574554</v>
      </c>
      <c r="BI466" s="59" t="str">
        <f t="shared" si="418"/>
        <v>-0.0020126669972068-0.00264209674650153i</v>
      </c>
      <c r="BJ466" s="64">
        <f t="shared" si="419"/>
        <v>-49.573652866056925</v>
      </c>
      <c r="BK466" s="61">
        <f t="shared" si="420"/>
        <v>-127.29902087613121</v>
      </c>
      <c r="BL466" s="59" t="str">
        <f t="shared" si="425"/>
        <v>0.0126464012892893-0.00393657473922981i</v>
      </c>
      <c r="BM466" s="64">
        <f t="shared" si="421"/>
        <v>-37.55900874335282</v>
      </c>
      <c r="BN466" s="61">
        <f t="shared" si="426"/>
        <v>-17.290332789741655</v>
      </c>
      <c r="BO466" s="50">
        <f t="shared" si="422"/>
        <v>-49.573652866056925</v>
      </c>
      <c r="BP466" s="61">
        <f t="shared" si="423"/>
        <v>-127.29902087613121</v>
      </c>
    </row>
    <row r="467" spans="14:68" x14ac:dyDescent="0.25">
      <c r="N467" s="11">
        <v>49</v>
      </c>
      <c r="O467" s="51">
        <f t="shared" si="424"/>
        <v>309029.54325135931</v>
      </c>
      <c r="P467" s="49" t="str">
        <f t="shared" ref="P467:P530" si="427">COMPLEX(Adc,0)</f>
        <v>37.1583961085025</v>
      </c>
      <c r="Q467" s="18" t="str">
        <f t="shared" ref="Q467:Q530" si="428">IMSUM(COMPLEX(1,0),IMDIV(COMPLEX(0,2*PI()*O467),COMPLEX(wp_lf,0)))</f>
        <v>1+1521.91578987846i</v>
      </c>
      <c r="R467" s="18">
        <f t="shared" si="387"/>
        <v>1521.9161184117133</v>
      </c>
      <c r="S467" s="18">
        <f t="shared" si="388"/>
        <v>1.5701392603114956</v>
      </c>
      <c r="T467" s="18" t="str">
        <f t="shared" ref="T467:T530" si="429">IMSUM(COMPLEX(1,0),IMDIV(COMPLEX(0,2*PI()*O467),COMPLEX(wz_esr,0)))</f>
        <v>1+1.74752089707723i</v>
      </c>
      <c r="U467" s="18">
        <f t="shared" si="389"/>
        <v>2.0134123486562818</v>
      </c>
      <c r="V467" s="18">
        <f t="shared" si="390"/>
        <v>1.0510393195191816</v>
      </c>
      <c r="W467" s="32" t="str">
        <f t="shared" ref="W467:W530" si="430">IMSUB(COMPLEX(1,0),IMDIV(COMPLEX(0,2*PI()*O467),COMPLEX(wz_rhp,0)))</f>
        <v>1-15.2958643335029i</v>
      </c>
      <c r="X467" s="18">
        <f t="shared" si="391"/>
        <v>15.328518053253749</v>
      </c>
      <c r="Y467" s="18">
        <f t="shared" si="392"/>
        <v>-1.5055120841426028</v>
      </c>
      <c r="Z467" s="32" t="str">
        <f t="shared" ref="Z467:Z530" si="431">IMSUM(COMPLEX(1,0),IMDIV(COMPLEX(0,2*PI()*O467),COMPLEX(Q*(wsl/2),0)),IMDIV(IMPOWER(COMPLEX(0,2*PI()*O467),2),IMPOWER(COMPLEX(wsl/2,0),2)))</f>
        <v>-1.38748146505359+3.68273848309978i</v>
      </c>
      <c r="AA467" s="18">
        <f t="shared" si="393"/>
        <v>3.935437402725563</v>
      </c>
      <c r="AB467" s="18">
        <f t="shared" si="394"/>
        <v>1.931102676627076</v>
      </c>
      <c r="AC467" s="32" t="str">
        <f>IMDIV(IMSUM(COMPLEX(0,2*PI()*O467*Constants!$B$61*Constants!$B$62),COMPLEX(1,0)),IMSUM(COMPLEX(0,2*PI()*O467*Constants!$B$61*Constants!$B$62),COMPLEX(2,0)))</f>
        <v>0.96890670717978+0.120747064360614i</v>
      </c>
      <c r="AD467" s="18">
        <f t="shared" si="395"/>
        <v>0.97640158785699971</v>
      </c>
      <c r="AE467" s="18">
        <f t="shared" si="396"/>
        <v>0.12398276488582874</v>
      </c>
      <c r="AF467" s="66" t="str">
        <f t="shared" si="397"/>
        <v>-0.144170900340424+0.1190232123045i</v>
      </c>
      <c r="AG467" s="64">
        <f t="shared" si="398"/>
        <v>-14.565307817752748</v>
      </c>
      <c r="AH467" s="61">
        <f t="shared" si="399"/>
        <v>140.45793180296658</v>
      </c>
      <c r="AI467" s="50" t="str">
        <f t="shared" ref="AI467:AI530" si="432">COMPLEX($B$72,0)</f>
        <v>107.538871525172</v>
      </c>
      <c r="AJ467" s="50" t="str">
        <f t="shared" ref="AJ467:AJ530" si="433">IMSUM(COMPLEX(1,0),IMDIV(COMPLEX(0,2*PI()*O467),COMPLEX(wp_lf_DCM,0)))</f>
        <v>1+1446.81113232043i</v>
      </c>
      <c r="AK467" s="50">
        <f t="shared" si="400"/>
        <v>1446.8114779079979</v>
      </c>
      <c r="AL467" s="50">
        <f t="shared" si="401"/>
        <v>1.5701051516868125</v>
      </c>
      <c r="AM467" s="50" t="str">
        <f t="shared" ref="AM467:AM530" si="434">IMSUM(COMPLEX(1,0),IMDIV(COMPLEX(0,2*PI()*O467),COMPLEX(wz1_dcm,0)))</f>
        <v>1+1.74752089707723i</v>
      </c>
      <c r="AN467" s="50">
        <f t="shared" si="402"/>
        <v>2.0134123486562818</v>
      </c>
      <c r="AO467" s="50">
        <f t="shared" si="403"/>
        <v>1.0510393195191816</v>
      </c>
      <c r="AP467" s="50" t="str">
        <f t="shared" ref="AP467:AP530" si="435">IMSUB(COMPLEX(1,0),IMDIV(COMPLEX(0,2*PI()*O467),COMPLEX(wz2_dcm,0)))</f>
        <v>1-5.02442547046219i</v>
      </c>
      <c r="AQ467" s="50">
        <f t="shared" si="404"/>
        <v>5.1229728974716622</v>
      </c>
      <c r="AR467" s="50">
        <f t="shared" si="405"/>
        <v>-1.3743358157262362</v>
      </c>
      <c r="AS467" s="59" t="str">
        <f t="shared" si="406"/>
        <v>-0.24306386147615-0.727119269009112i</v>
      </c>
      <c r="AT467" s="50">
        <f t="shared" si="407"/>
        <v>-2.3078336888444078</v>
      </c>
      <c r="AU467" s="61">
        <f t="shared" si="408"/>
        <v>-108.48392334743377</v>
      </c>
      <c r="AV467" s="32" t="str">
        <f t="shared" ref="AV467:AV530" si="436">COMPLEX(Adc_ea,0)</f>
        <v>-0.0000333333333333333</v>
      </c>
      <c r="AW467" s="32" t="str">
        <f t="shared" ref="AW467:AW530" si="437">COMPLEX(0,2*PI()*O467*wp0_ea)</f>
        <v>0.0932011145107853i</v>
      </c>
      <c r="AX467" s="32">
        <f t="shared" si="409"/>
        <v>9.3201114510785305E-2</v>
      </c>
      <c r="AY467" s="32">
        <f t="shared" si="410"/>
        <v>1.5707963267948966</v>
      </c>
      <c r="AZ467" s="32" t="str">
        <f t="shared" ref="AZ467:AZ530" si="438">IMSUM(COMPLEX(1,0),IMDIV(COMPLEX(0,2*PI()*O467),COMPLEX(wp1_ea,0)))</f>
        <v>1+38.0247602604767i</v>
      </c>
      <c r="BA467" s="32">
        <f t="shared" si="411"/>
        <v>38.037907314503087</v>
      </c>
      <c r="BB467" s="32">
        <f t="shared" si="412"/>
        <v>1.5445037335203109</v>
      </c>
      <c r="BC467" s="32" t="str">
        <f t="shared" ref="BC467:BC530" si="439">IMSUM(COMPLEX(1,0),IMDIV(COMPLEX(0,2*PI()*O467),COMPLEX(wz_ea,0)))</f>
        <v>1+1825.18849250288i</v>
      </c>
      <c r="BD467" s="32">
        <f t="shared" si="413"/>
        <v>1825.1887664471685</v>
      </c>
      <c r="BE467" s="32">
        <f t="shared" si="414"/>
        <v>1.570248438232128</v>
      </c>
      <c r="BF467" s="59" t="str">
        <f t="shared" si="415"/>
        <v>-0.000441762401624313+0.0171555589281176i</v>
      </c>
      <c r="BG467" s="50">
        <f t="shared" si="416"/>
        <v>-35.309023783614812</v>
      </c>
      <c r="BH467" s="61">
        <f t="shared" si="417"/>
        <v>91.475062924797683</v>
      </c>
      <c r="BI467" s="59" t="str">
        <f t="shared" si="418"/>
        <v>-0.00197822044932498-0.00252591235662659i</v>
      </c>
      <c r="BJ467" s="64">
        <f t="shared" si="419"/>
        <v>-49.874331601367558</v>
      </c>
      <c r="BK467" s="61">
        <f t="shared" si="420"/>
        <v>-128.0670052722358</v>
      </c>
      <c r="BL467" s="59" t="str">
        <f t="shared" si="425"/>
        <v>0.0125815139424494-0.00384868244430512i</v>
      </c>
      <c r="BM467" s="64">
        <f t="shared" si="421"/>
        <v>-37.616857472459223</v>
      </c>
      <c r="BN467" s="61">
        <f t="shared" si="426"/>
        <v>-17.008860422636083</v>
      </c>
      <c r="BO467" s="50">
        <f t="shared" si="422"/>
        <v>-49.874331601367558</v>
      </c>
      <c r="BP467" s="61">
        <f t="shared" si="423"/>
        <v>-128.0670052722358</v>
      </c>
    </row>
    <row r="468" spans="14:68" x14ac:dyDescent="0.25">
      <c r="N468" s="11">
        <v>50</v>
      </c>
      <c r="O468" s="51">
        <f t="shared" si="424"/>
        <v>316227.7660168382</v>
      </c>
      <c r="P468" s="49" t="str">
        <f t="shared" si="427"/>
        <v>37.1583961085025</v>
      </c>
      <c r="Q468" s="18" t="str">
        <f t="shared" si="428"/>
        <v>1+1557.36576262406i</v>
      </c>
      <c r="R468" s="18">
        <f t="shared" ref="R468:R531" si="440">IMABS(Q468)</f>
        <v>1557.3660836789852</v>
      </c>
      <c r="S468" s="18">
        <f t="shared" ref="S468:S531" si="441">IMARGUMENT(Q468)</f>
        <v>1.5701542169665157</v>
      </c>
      <c r="T468" s="18" t="str">
        <f t="shared" si="429"/>
        <v>1+1.7882258878433i</v>
      </c>
      <c r="U468" s="18">
        <f t="shared" ref="U468:U531" si="442">IMABS(T468)</f>
        <v>2.048841581468162</v>
      </c>
      <c r="V468" s="18">
        <f t="shared" ref="V468:V531" si="443">IMARGUMENT(T468)</f>
        <v>1.0609069664308972</v>
      </c>
      <c r="W468" s="32" t="str">
        <f t="shared" si="430"/>
        <v>1-15.6521507833506i</v>
      </c>
      <c r="X468" s="18">
        <f t="shared" ref="X468:X531" si="444">IMABS(W468)</f>
        <v>15.684062743586011</v>
      </c>
      <c r="Y468" s="18">
        <f t="shared" ref="Y468:Y531" si="445">IMARGUMENT(W468)</f>
        <v>-1.5069940586190447</v>
      </c>
      <c r="Z468" s="32" t="str">
        <f t="shared" si="431"/>
        <v>-1.49999999999999+3.76852048215865i</v>
      </c>
      <c r="AA468" s="18">
        <f t="shared" ref="AA468:AA531" si="446">IMABS(Z468)</f>
        <v>4.0560752735186298</v>
      </c>
      <c r="AB468" s="18">
        <f t="shared" ref="AB468:AB531" si="447">IMARGUMENT(Z468)</f>
        <v>1.9496068927528234</v>
      </c>
      <c r="AC468" s="32" t="str">
        <f>IMDIV(IMSUM(COMPLEX(0,2*PI()*O468*Constants!$B$61*Constants!$B$62),COMPLEX(1,0)),IMSUM(COMPLEX(0,2*PI()*O468*Constants!$B$61*Constants!$B$62),COMPLEX(2,0)))</f>
        <v>0.970222793727455+0.118329713609367i</v>
      </c>
      <c r="AD468" s="18">
        <f t="shared" ref="AD468:AD531" si="448">IMABS(AC468)</f>
        <v>0.97741198610984015</v>
      </c>
      <c r="AE468" s="18">
        <f t="shared" ref="AE468:AE531" si="449">IMARGUMENT(AC468)</f>
        <v>0.12136201497513251</v>
      </c>
      <c r="AF468" s="66" t="str">
        <f t="shared" ref="AF468:AF531" si="450">(IMDIV(IMPRODUCT(P468,T468,W468,AC468),IMPRODUCT(Q468,Z468)))</f>
        <v>-0.140966240182343+0.119433199952446i</v>
      </c>
      <c r="AG468" s="64">
        <f t="shared" ref="AG468:AG531" si="451">20*LOG(IMABS(AF468))</f>
        <v>-14.667902947758639</v>
      </c>
      <c r="AH468" s="61">
        <f t="shared" ref="AH468:AH531" si="452">(180/PI())*IMARGUMENT(AF468)</f>
        <v>139.72716709243318</v>
      </c>
      <c r="AI468" s="50" t="str">
        <f t="shared" si="432"/>
        <v>107.538871525172</v>
      </c>
      <c r="AJ468" s="50" t="str">
        <f t="shared" si="433"/>
        <v>1+1480.51169285728i</v>
      </c>
      <c r="AK468" s="50">
        <f t="shared" ref="AK468:AK531" si="453">IMABS(AJ468)</f>
        <v>1480.5120305783162</v>
      </c>
      <c r="AL468" s="50">
        <f t="shared" ref="AL468:AL531" si="454">IMARGUMENT(AJ468)</f>
        <v>1.5701208847482377</v>
      </c>
      <c r="AM468" s="50" t="str">
        <f t="shared" si="434"/>
        <v>1+1.7882258878433i</v>
      </c>
      <c r="AN468" s="50">
        <f t="shared" ref="AN468:AN531" si="455">IMABS(AM468)</f>
        <v>2.048841581468162</v>
      </c>
      <c r="AO468" s="50">
        <f t="shared" ref="AO468:AO531" si="456">IMARGUMENT(AM468)</f>
        <v>1.0609069664308972</v>
      </c>
      <c r="AP468" s="50" t="str">
        <f t="shared" si="435"/>
        <v>1-5.14145937416088i</v>
      </c>
      <c r="AQ468" s="50">
        <f t="shared" ref="AQ468:AQ531" si="457">IMABS(AP468)</f>
        <v>5.2378053129289555</v>
      </c>
      <c r="AR468" s="50">
        <f t="shared" ref="AR468:AR531" si="458">IMARGUMENT(AP468)</f>
        <v>-1.378697373786467</v>
      </c>
      <c r="AS468" s="59" t="str">
        <f t="shared" ref="AS468:AS531" si="459">(IMDIV(IMPRODUCT(AI468,AM468,AP468),IMPRODUCT(AJ468)))</f>
        <v>-0.24306617890365-0.740625074018335i</v>
      </c>
      <c r="AT468" s="50">
        <f t="shared" ref="AT468:AT531" si="460">20*LOG(IMABS(AS468))</f>
        <v>-2.1637746903851136</v>
      </c>
      <c r="AU468" s="61">
        <f t="shared" ref="AU468:AU531" si="461">(180/PI())*IMARGUMENT(AS468)</f>
        <v>-108.16934913263822</v>
      </c>
      <c r="AV468" s="32" t="str">
        <f t="shared" si="436"/>
        <v>-0.0000333333333333333</v>
      </c>
      <c r="AW468" s="32" t="str">
        <f t="shared" si="437"/>
        <v>0.0953720473516427i</v>
      </c>
      <c r="AX468" s="32">
        <f t="shared" ref="AX468:AX531" si="462">IMABS(AW468)</f>
        <v>9.5372047351642703E-2</v>
      </c>
      <c r="AY468" s="32">
        <f t="shared" ref="AY468:AY531" si="463">IMARGUMENT(AW468)</f>
        <v>1.5707963267948966</v>
      </c>
      <c r="AZ468" s="32" t="str">
        <f t="shared" si="438"/>
        <v>1+38.9104707077014i</v>
      </c>
      <c r="BA468" s="32">
        <f t="shared" ref="BA468:BA531" si="464">IMABS(AZ468)</f>
        <v>38.923318598173111</v>
      </c>
      <c r="BB468" s="32">
        <f t="shared" ref="BB468:BB531" si="465">IMARGUMENT(AZ468)</f>
        <v>1.5451019595643343</v>
      </c>
      <c r="BC468" s="32" t="str">
        <f t="shared" si="439"/>
        <v>1+1867.70259396967i</v>
      </c>
      <c r="BD468" s="32">
        <f t="shared" ref="BD468:BD531" si="466">IMABS(BC468)</f>
        <v>1867.7028616782256</v>
      </c>
      <c r="BE468" s="32">
        <f t="shared" ref="BE468:BE531" si="467">IMARGUMENT(BC468)</f>
        <v>1.5702609096960118</v>
      </c>
      <c r="BF468" s="59" t="str">
        <f t="shared" ref="BF468:BF531" si="468">IMPRODUCT(AV468,IMDIV(BC468,IMPRODUCT(AW468,AZ468)))</f>
        <v>-0.000421892941937373+0.0167655613764324i</v>
      </c>
      <c r="BG468" s="50">
        <f t="shared" ref="BG468:BG531" si="469">20*LOG(IMABS(BF468))</f>
        <v>-35.50888874647508</v>
      </c>
      <c r="BH468" s="61">
        <f t="shared" ref="BH468:BH531" si="470">(180/PI())*IMARGUMENT(BF468)</f>
        <v>91.441501659525215</v>
      </c>
      <c r="BI468" s="59" t="str">
        <f t="shared" ref="BI468:BI531" si="471">IMPRODUCT(AF468,BF468)</f>
        <v>-0.00194289198240208-0.00241376617587491i</v>
      </c>
      <c r="BJ468" s="64">
        <f t="shared" ref="BJ468:BJ531" si="472">20*LOG(IMABS(BI468))</f>
        <v>-50.176791694233728</v>
      </c>
      <c r="BK468" s="61">
        <f t="shared" ref="BK468:BK531" si="473">(180/PI())*IMARGUMENT(BI468)</f>
        <v>-128.83133124804169</v>
      </c>
      <c r="BL468" s="59" t="str">
        <f t="shared" si="425"/>
        <v>0.0125195430406823-0.00376267644959386i</v>
      </c>
      <c r="BM468" s="64">
        <f t="shared" ref="BM468:BM531" si="474">20*LOG(IMABS(BL468))</f>
        <v>-37.672663436860205</v>
      </c>
      <c r="BN468" s="61">
        <f t="shared" si="426"/>
        <v>-16.727847473113009</v>
      </c>
      <c r="BO468" s="50">
        <f t="shared" ref="BO468:BO531" si="475">IF($B$31=0,BM468,BJ468)</f>
        <v>-50.176791694233728</v>
      </c>
      <c r="BP468" s="61">
        <f t="shared" ref="BP468:BP531" si="476">IF($B$31=0,BN468,BK468)</f>
        <v>-128.83133124804169</v>
      </c>
    </row>
    <row r="469" spans="14:68" x14ac:dyDescent="0.25">
      <c r="N469" s="11">
        <v>51</v>
      </c>
      <c r="O469" s="51">
        <f t="shared" si="424"/>
        <v>323593.65692962846</v>
      </c>
      <c r="P469" s="49" t="str">
        <f t="shared" si="427"/>
        <v>37.1583961085025</v>
      </c>
      <c r="Q469" s="18" t="str">
        <f t="shared" si="428"/>
        <v>1+1593.64147131117i</v>
      </c>
      <c r="R469" s="18">
        <f t="shared" si="440"/>
        <v>1593.6417850579944</v>
      </c>
      <c r="S469" s="18">
        <f t="shared" si="441"/>
        <v>1.5701688331667798</v>
      </c>
      <c r="T469" s="18" t="str">
        <f t="shared" si="429"/>
        <v>1+1.82987901964508i</v>
      </c>
      <c r="U469" s="18">
        <f t="shared" si="442"/>
        <v>2.0852954770337075</v>
      </c>
      <c r="V469" s="18">
        <f t="shared" si="443"/>
        <v>1.0706563814870658</v>
      </c>
      <c r="W469" s="32" t="str">
        <f t="shared" si="430"/>
        <v>1-16.0167362107243i</v>
      </c>
      <c r="X469" s="18">
        <f t="shared" si="444"/>
        <v>16.047923194106051</v>
      </c>
      <c r="Y469" s="18">
        <f t="shared" si="445"/>
        <v>-1.5084425704591433</v>
      </c>
      <c r="Z469" s="32" t="str">
        <f t="shared" si="431"/>
        <v>-1.61782137012724+3.85630060065943i</v>
      </c>
      <c r="AA469" s="18">
        <f t="shared" si="446"/>
        <v>4.1819134745098037</v>
      </c>
      <c r="AB469" s="18">
        <f t="shared" si="447"/>
        <v>1.968021988440396</v>
      </c>
      <c r="AC469" s="32" t="str">
        <f>IMDIV(IMSUM(COMPLEX(0,2*PI()*O469*Constants!$B$61*Constants!$B$62),COMPLEX(1,0)),IMSUM(COMPLEX(0,2*PI()*O469*Constants!$B$61*Constants!$B$62),COMPLEX(2,0)))</f>
        <v>0.971486561639399+0.115946983631126i</v>
      </c>
      <c r="AD469" s="18">
        <f t="shared" si="448"/>
        <v>0.97838123574560543</v>
      </c>
      <c r="AE469" s="18">
        <f t="shared" si="449"/>
        <v>0.11878816739113512</v>
      </c>
      <c r="AF469" s="66" t="str">
        <f t="shared" si="450"/>
        <v>-0.137772137993634+0.119766200591852i</v>
      </c>
      <c r="AG469" s="64">
        <f t="shared" si="451"/>
        <v>-14.772284760025084</v>
      </c>
      <c r="AH469" s="61">
        <f t="shared" si="452"/>
        <v>138.99935850037249</v>
      </c>
      <c r="AI469" s="50" t="str">
        <f t="shared" si="432"/>
        <v>107.538871525172</v>
      </c>
      <c r="AJ469" s="50" t="str">
        <f t="shared" si="433"/>
        <v>1+1514.99724029057i</v>
      </c>
      <c r="AK469" s="50">
        <f t="shared" si="453"/>
        <v>1514.9975703241387</v>
      </c>
      <c r="AL469" s="50">
        <f t="shared" si="454"/>
        <v>1.5701362596817852</v>
      </c>
      <c r="AM469" s="50" t="str">
        <f t="shared" si="434"/>
        <v>1+1.82987901964508i</v>
      </c>
      <c r="AN469" s="50">
        <f t="shared" si="455"/>
        <v>2.0852954770337075</v>
      </c>
      <c r="AO469" s="50">
        <f t="shared" si="456"/>
        <v>1.0706563814870658</v>
      </c>
      <c r="AP469" s="50" t="str">
        <f t="shared" si="435"/>
        <v>1-5.26121934767502i</v>
      </c>
      <c r="AQ469" s="50">
        <f t="shared" si="457"/>
        <v>5.3554111909684359</v>
      </c>
      <c r="AR469" s="50">
        <f t="shared" si="458"/>
        <v>-1.382966813023834</v>
      </c>
      <c r="AS469" s="59" t="str">
        <f t="shared" si="459"/>
        <v>-0.243068392029823-0.754523568104208i</v>
      </c>
      <c r="AT469" s="50">
        <f t="shared" si="460"/>
        <v>-2.0177207694449688</v>
      </c>
      <c r="AU469" s="61">
        <f t="shared" si="461"/>
        <v>-107.85625056518951</v>
      </c>
      <c r="AV469" s="32" t="str">
        <f t="shared" si="436"/>
        <v>-0.0000333333333333333</v>
      </c>
      <c r="AW469" s="32" t="str">
        <f t="shared" si="437"/>
        <v>0.0975935477144042i</v>
      </c>
      <c r="AX469" s="32">
        <f t="shared" si="462"/>
        <v>9.7593547714404205E-2</v>
      </c>
      <c r="AY469" s="32">
        <f t="shared" si="463"/>
        <v>1.5707963267948966</v>
      </c>
      <c r="AZ469" s="32" t="str">
        <f t="shared" si="438"/>
        <v>1+39.8168120015364i</v>
      </c>
      <c r="BA469" s="32">
        <f t="shared" si="464"/>
        <v>39.829367531580168</v>
      </c>
      <c r="BB469" s="32">
        <f t="shared" si="465"/>
        <v>1.545686586096229</v>
      </c>
      <c r="BC469" s="32" t="str">
        <f t="shared" si="439"/>
        <v>1+1911.20697607375i</v>
      </c>
      <c r="BD469" s="32">
        <f t="shared" si="466"/>
        <v>1911.207237688516</v>
      </c>
      <c r="BE469" s="32">
        <f t="shared" si="467"/>
        <v>1.57027309727488</v>
      </c>
      <c r="BF469" s="59" t="str">
        <f t="shared" si="468"/>
        <v>-0.00040291660124117+0.0163844071984308i</v>
      </c>
      <c r="BG469" s="50">
        <f t="shared" si="469"/>
        <v>-35.70875978308478</v>
      </c>
      <c r="BH469" s="61">
        <f t="shared" si="470"/>
        <v>91.408703323487913</v>
      </c>
      <c r="BI469" s="59" t="str">
        <f t="shared" si="471"/>
        <v>-0.00190678751751972-0.00230557059997214i</v>
      </c>
      <c r="BJ469" s="64">
        <f t="shared" si="472"/>
        <v>-50.48104454310986</v>
      </c>
      <c r="BK469" s="61">
        <f t="shared" si="473"/>
        <v>-129.59193817613948</v>
      </c>
      <c r="BL469" s="59" t="str">
        <f t="shared" si="425"/>
        <v>0.0124603576710181-0.00367852144046752i</v>
      </c>
      <c r="BM469" s="64">
        <f t="shared" si="474"/>
        <v>-37.726480552529743</v>
      </c>
      <c r="BN469" s="61">
        <f t="shared" si="426"/>
        <v>-16.447547241701585</v>
      </c>
      <c r="BO469" s="50">
        <f t="shared" si="475"/>
        <v>-50.48104454310986</v>
      </c>
      <c r="BP469" s="61">
        <f t="shared" si="476"/>
        <v>-129.59193817613948</v>
      </c>
    </row>
    <row r="470" spans="14:68" x14ac:dyDescent="0.25">
      <c r="N470" s="11">
        <v>52</v>
      </c>
      <c r="O470" s="51">
        <f t="shared" si="424"/>
        <v>331131.12148259126</v>
      </c>
      <c r="P470" s="49" t="str">
        <f t="shared" si="427"/>
        <v>37.1583961085025</v>
      </c>
      <c r="Q470" s="18" t="str">
        <f t="shared" si="428"/>
        <v>1+1630.76214980072i</v>
      </c>
      <c r="R470" s="18">
        <f t="shared" si="440"/>
        <v>1630.7624564057958</v>
      </c>
      <c r="S470" s="18">
        <f t="shared" si="441"/>
        <v>1.5701831166619657</v>
      </c>
      <c r="T470" s="18" t="str">
        <f t="shared" si="429"/>
        <v>1+1.87250237752439i</v>
      </c>
      <c r="U470" s="18">
        <f t="shared" si="442"/>
        <v>2.12279654084759</v>
      </c>
      <c r="V470" s="18">
        <f t="shared" si="443"/>
        <v>1.0802853196816677</v>
      </c>
      <c r="W470" s="32" t="str">
        <f t="shared" si="430"/>
        <v>1-16.3898139236437i</v>
      </c>
      <c r="X470" s="18">
        <f t="shared" si="444"/>
        <v>16.420292337582332</v>
      </c>
      <c r="Y470" s="18">
        <f t="shared" si="445"/>
        <v>-1.5098583633553528</v>
      </c>
      <c r="Z470" s="32" t="str">
        <f t="shared" si="431"/>
        <v>-1.74119549035797+3.94612538078287i</v>
      </c>
      <c r="AA470" s="18">
        <f t="shared" si="446"/>
        <v>4.3131968719850571</v>
      </c>
      <c r="AB470" s="18">
        <f t="shared" si="447"/>
        <v>1.9863431121642976</v>
      </c>
      <c r="AC470" s="32" t="str">
        <f>IMDIV(IMSUM(COMPLEX(0,2*PI()*O470*Constants!$B$61*Constants!$B$62),COMPLEX(1,0)),IMSUM(COMPLEX(0,2*PI()*O470*Constants!$B$61*Constants!$B$62),COMPLEX(2,0)))</f>
        <v>0.972699808211011+0.113599275626119i</v>
      </c>
      <c r="AD470" s="18">
        <f t="shared" si="448"/>
        <v>0.97931083539217345</v>
      </c>
      <c r="AE470" s="18">
        <f t="shared" si="449"/>
        <v>0.11626093411620908</v>
      </c>
      <c r="AF470" s="66" t="str">
        <f t="shared" si="450"/>
        <v>-0.134590790377751+0.120023110104734i</v>
      </c>
      <c r="AG470" s="64">
        <f t="shared" si="451"/>
        <v>-14.87846420707265</v>
      </c>
      <c r="AH470" s="61">
        <f t="shared" si="452"/>
        <v>138.27459581269224</v>
      </c>
      <c r="AI470" s="50" t="str">
        <f t="shared" si="432"/>
        <v>107.538871525172</v>
      </c>
      <c r="AJ470" s="50" t="str">
        <f t="shared" si="433"/>
        <v>1+1550.28605931403i</v>
      </c>
      <c r="AK470" s="50">
        <f t="shared" si="453"/>
        <v>1550.2863818351188</v>
      </c>
      <c r="AL470" s="50">
        <f t="shared" si="454"/>
        <v>1.570151284639419</v>
      </c>
      <c r="AM470" s="50" t="str">
        <f t="shared" si="434"/>
        <v>1+1.87250237752439i</v>
      </c>
      <c r="AN470" s="50">
        <f t="shared" si="455"/>
        <v>2.12279654084759</v>
      </c>
      <c r="AO470" s="50">
        <f t="shared" si="456"/>
        <v>1.0802853196816677</v>
      </c>
      <c r="AP470" s="50" t="str">
        <f t="shared" si="435"/>
        <v>1-5.38376888932779i</v>
      </c>
      <c r="AQ470" s="50">
        <f t="shared" si="457"/>
        <v>5.4758531256502661</v>
      </c>
      <c r="AR470" s="50">
        <f t="shared" si="458"/>
        <v>-1.3871457742601327</v>
      </c>
      <c r="AS470" s="59" t="str">
        <f t="shared" si="459"/>
        <v>-0.243070505548997-0.768822120441654i</v>
      </c>
      <c r="AT470" s="50">
        <f t="shared" si="460"/>
        <v>-1.8697259018856049</v>
      </c>
      <c r="AU470" s="61">
        <f t="shared" si="461"/>
        <v>-107.54485075369507</v>
      </c>
      <c r="AV470" s="32" t="str">
        <f t="shared" si="436"/>
        <v>-0.0000333333333333333</v>
      </c>
      <c r="AW470" s="32" t="str">
        <f t="shared" si="437"/>
        <v>0.0998667934679672i</v>
      </c>
      <c r="AX470" s="32">
        <f t="shared" si="462"/>
        <v>9.9866793467967202E-2</v>
      </c>
      <c r="AY470" s="32">
        <f t="shared" si="463"/>
        <v>1.5707963267948966</v>
      </c>
      <c r="AZ470" s="32" t="str">
        <f t="shared" si="438"/>
        <v>1+40.7442646961326i</v>
      </c>
      <c r="BA470" s="32">
        <f t="shared" si="464"/>
        <v>40.756534514461819</v>
      </c>
      <c r="BB470" s="32">
        <f t="shared" si="465"/>
        <v>1.5462579214932575</v>
      </c>
      <c r="BC470" s="32" t="str">
        <f t="shared" si="439"/>
        <v>1+1955.72470541437i</v>
      </c>
      <c r="BD470" s="32">
        <f t="shared" si="466"/>
        <v>1955.724961074058</v>
      </c>
      <c r="BE470" s="32">
        <f t="shared" si="467"/>
        <v>1.5702850074307333</v>
      </c>
      <c r="BF470" s="59" t="str">
        <f t="shared" si="468"/>
        <v>-0.000384793284005793+0.0160118973641878i</v>
      </c>
      <c r="BG470" s="50">
        <f t="shared" si="469"/>
        <v>-35.908636620425092</v>
      </c>
      <c r="BH470" s="61">
        <f t="shared" si="470"/>
        <v>91.376650618215493</v>
      </c>
      <c r="BI470" s="59" t="str">
        <f t="shared" si="471"/>
        <v>-0.00187000808810122-0.00220123800838725i</v>
      </c>
      <c r="BJ470" s="64">
        <f t="shared" si="472"/>
        <v>-50.787100827497753</v>
      </c>
      <c r="BK470" s="61">
        <f t="shared" si="473"/>
        <v>-130.34875356909222</v>
      </c>
      <c r="BL470" s="59" t="str">
        <f t="shared" si="425"/>
        <v>0.0124038327819041-0.00359618239857074i</v>
      </c>
      <c r="BM470" s="64">
        <f t="shared" si="474"/>
        <v>-37.778362522310715</v>
      </c>
      <c r="BN470" s="61">
        <f t="shared" si="426"/>
        <v>-16.16820013547963</v>
      </c>
      <c r="BO470" s="50">
        <f t="shared" si="475"/>
        <v>-50.787100827497753</v>
      </c>
      <c r="BP470" s="61">
        <f t="shared" si="476"/>
        <v>-130.34875356909222</v>
      </c>
    </row>
    <row r="471" spans="14:68" x14ac:dyDescent="0.25">
      <c r="N471" s="11">
        <v>53</v>
      </c>
      <c r="O471" s="51">
        <f t="shared" si="424"/>
        <v>338844.15613920329</v>
      </c>
      <c r="P471" s="49" t="str">
        <f t="shared" si="427"/>
        <v>37.1583961085025</v>
      </c>
      <c r="Q471" s="18" t="str">
        <f t="shared" si="428"/>
        <v>1+1668.74747996777i</v>
      </c>
      <c r="R471" s="18">
        <f t="shared" si="440"/>
        <v>1668.7477795936636</v>
      </c>
      <c r="S471" s="18">
        <f t="shared" si="441"/>
        <v>1.5701970750253489</v>
      </c>
      <c r="T471" s="18" t="str">
        <f t="shared" si="429"/>
        <v>1+1.91611856094976i</v>
      </c>
      <c r="U471" s="18">
        <f t="shared" si="442"/>
        <v>2.1613677011596564</v>
      </c>
      <c r="V471" s="18">
        <f t="shared" si="443"/>
        <v>1.089791743526529</v>
      </c>
      <c r="W471" s="32" t="str">
        <f t="shared" si="430"/>
        <v>1-16.7715817328501i</v>
      </c>
      <c r="X471" s="18">
        <f t="shared" si="444"/>
        <v>16.801367617598014</v>
      </c>
      <c r="Y471" s="18">
        <f t="shared" si="445"/>
        <v>-1.5112421652636809</v>
      </c>
      <c r="Z471" s="32" t="str">
        <f t="shared" si="431"/>
        <v>-1.87038405374222+4.03804244881634i</v>
      </c>
      <c r="AA471" s="18">
        <f t="shared" si="446"/>
        <v>4.4501823925470561</v>
      </c>
      <c r="AB471" s="18">
        <f t="shared" si="447"/>
        <v>2.0045654054397355</v>
      </c>
      <c r="AC471" s="32" t="str">
        <f>IMDIV(IMSUM(COMPLEX(0,2*PI()*O471*Constants!$B$61*Constants!$B$62),COMPLEX(1,0)),IMSUM(COMPLEX(0,2*PI()*O471*Constants!$B$61*Constants!$B$62),COMPLEX(2,0)))</f>
        <v>0.973864292780893+0.111286919346842i</v>
      </c>
      <c r="AD471" s="18">
        <f t="shared" si="448"/>
        <v>0.98020224401464195</v>
      </c>
      <c r="AE471" s="18">
        <f t="shared" si="449"/>
        <v>0.11377998892182174</v>
      </c>
      <c r="AF471" s="66" t="str">
        <f t="shared" si="450"/>
        <v>-0.13142438560739+0.120204886651509i</v>
      </c>
      <c r="AG471" s="64">
        <f t="shared" si="451"/>
        <v>-14.986451358255806</v>
      </c>
      <c r="AH471" s="61">
        <f t="shared" si="452"/>
        <v>137.55297982635165</v>
      </c>
      <c r="AI471" s="50" t="str">
        <f t="shared" si="432"/>
        <v>107.538871525172</v>
      </c>
      <c r="AJ471" s="50" t="str">
        <f t="shared" si="433"/>
        <v>1+1586.39686052659i</v>
      </c>
      <c r="AK471" s="50">
        <f t="shared" si="453"/>
        <v>1586.3971757062041</v>
      </c>
      <c r="AL471" s="50">
        <f t="shared" si="454"/>
        <v>1.5701659675875435</v>
      </c>
      <c r="AM471" s="50" t="str">
        <f t="shared" si="434"/>
        <v>1+1.91611856094976i</v>
      </c>
      <c r="AN471" s="50">
        <f t="shared" si="455"/>
        <v>2.1613677011596564</v>
      </c>
      <c r="AO471" s="50">
        <f t="shared" si="456"/>
        <v>1.089791743526529</v>
      </c>
      <c r="AP471" s="50" t="str">
        <f t="shared" si="435"/>
        <v>1-5.50917297650827i</v>
      </c>
      <c r="AQ471" s="50">
        <f t="shared" si="457"/>
        <v>5.5991951997665685</v>
      </c>
      <c r="AR471" s="50">
        <f t="shared" si="458"/>
        <v>-1.3912358891099579</v>
      </c>
      <c r="AS471" s="59" t="str">
        <f t="shared" si="459"/>
        <v>-0.243072523944215-0.783528312321172i</v>
      </c>
      <c r="AT471" s="50">
        <f t="shared" si="460"/>
        <v>-1.7198437557814144</v>
      </c>
      <c r="AU471" s="61">
        <f t="shared" si="461"/>
        <v>-107.23536037869911</v>
      </c>
      <c r="AV471" s="32" t="str">
        <f t="shared" si="436"/>
        <v>-0.0000333333333333333</v>
      </c>
      <c r="AW471" s="32" t="str">
        <f t="shared" si="437"/>
        <v>0.10219298991732i</v>
      </c>
      <c r="AX471" s="32">
        <f t="shared" si="462"/>
        <v>0.10219298991732</v>
      </c>
      <c r="AY471" s="32">
        <f t="shared" si="463"/>
        <v>1.5707963267948966</v>
      </c>
      <c r="AZ471" s="32" t="str">
        <f t="shared" si="438"/>
        <v>1+41.6933205391846i</v>
      </c>
      <c r="BA471" s="32">
        <f t="shared" si="464"/>
        <v>41.705311143584488</v>
      </c>
      <c r="BB471" s="32">
        <f t="shared" si="465"/>
        <v>1.5468162671921735</v>
      </c>
      <c r="BC471" s="32" t="str">
        <f t="shared" si="439"/>
        <v>1+2001.27938588086i</v>
      </c>
      <c r="BD471" s="32">
        <f t="shared" si="466"/>
        <v>2001.2796357210232</v>
      </c>
      <c r="BE471" s="32">
        <f t="shared" si="467"/>
        <v>1.5702966464784809</v>
      </c>
      <c r="BF471" s="59" t="str">
        <f t="shared" si="468"/>
        <v>-0.00036748469038337+0.0156478372230929i</v>
      </c>
      <c r="BG471" s="50">
        <f t="shared" si="469"/>
        <v>-36.108518997734748</v>
      </c>
      <c r="BH471" s="61">
        <f t="shared" si="470"/>
        <v>91.345326634471817</v>
      </c>
      <c r="BI471" s="59" t="str">
        <f t="shared" si="471"/>
        <v>-0.00183265005008939-0.00210068084868313i</v>
      </c>
      <c r="BJ471" s="64">
        <f t="shared" si="472"/>
        <v>-51.094970355990547</v>
      </c>
      <c r="BK471" s="61">
        <f t="shared" si="473"/>
        <v>-131.10169353917655</v>
      </c>
      <c r="BL471" s="59" t="str">
        <f t="shared" si="425"/>
        <v>0.0123498489220887-0.00351562462882548i</v>
      </c>
      <c r="BM471" s="64">
        <f t="shared" si="474"/>
        <v>-37.828362753516188</v>
      </c>
      <c r="BN471" s="61">
        <f t="shared" si="426"/>
        <v>-15.890033744227354</v>
      </c>
      <c r="BO471" s="50">
        <f t="shared" si="475"/>
        <v>-51.094970355990547</v>
      </c>
      <c r="BP471" s="61">
        <f t="shared" si="476"/>
        <v>-131.10169353917655</v>
      </c>
    </row>
    <row r="472" spans="14:68" x14ac:dyDescent="0.25">
      <c r="N472" s="11">
        <v>54</v>
      </c>
      <c r="O472" s="51">
        <f t="shared" si="424"/>
        <v>346736.85045253241</v>
      </c>
      <c r="P472" s="49" t="str">
        <f t="shared" si="427"/>
        <v>37.1583961085025</v>
      </c>
      <c r="Q472" s="18" t="str">
        <f t="shared" si="428"/>
        <v>1+1707.61760213719i</v>
      </c>
      <c r="R472" s="18">
        <f t="shared" si="440"/>
        <v>1707.617894942767</v>
      </c>
      <c r="S472" s="18">
        <f t="shared" si="441"/>
        <v>1.570210715657816</v>
      </c>
      <c r="T472" s="18" t="str">
        <f t="shared" si="429"/>
        <v>1+1.96075069579897i</v>
      </c>
      <c r="U472" s="18">
        <f t="shared" si="442"/>
        <v>2.2010323239507739</v>
      </c>
      <c r="V472" s="18">
        <f t="shared" si="443"/>
        <v>1.0991738196883327</v>
      </c>
      <c r="W472" s="32" t="str">
        <f t="shared" si="430"/>
        <v>1-17.1622420566894i</v>
      </c>
      <c r="X472" s="18">
        <f t="shared" si="444"/>
        <v>17.19135109327939</v>
      </c>
      <c r="Y472" s="18">
        <f t="shared" si="445"/>
        <v>-1.512594688683417</v>
      </c>
      <c r="Z472" s="32" t="str">
        <f t="shared" si="431"/>
        <v>-2.00566108654355+4.13210054040598i</v>
      </c>
      <c r="AA472" s="18">
        <f t="shared" si="446"/>
        <v>4.5931395874824492</v>
      </c>
      <c r="AB472" s="18">
        <f t="shared" si="447"/>
        <v>2.0226840117007905</v>
      </c>
      <c r="AC472" s="32" t="str">
        <f>IMDIV(IMSUM(COMPLEX(0,2*PI()*O472*Constants!$B$61*Constants!$B$62),COMPLEX(1,0)),IMSUM(COMPLEX(0,2*PI()*O472*Constants!$B$61*Constants!$B$62),COMPLEX(2,0)))</f>
        <v>0.974981735376229+0.10901017726387i</v>
      </c>
      <c r="AD472" s="18">
        <f t="shared" si="448"/>
        <v>0.98105688064675611</v>
      </c>
      <c r="AE472" s="18">
        <f t="shared" si="449"/>
        <v>0.11134497050856702</v>
      </c>
      <c r="AF472" s="66" t="str">
        <f t="shared" si="450"/>
        <v>-0.128275100333662+0.120312554607664i</v>
      </c>
      <c r="AG472" s="64">
        <f t="shared" si="451"/>
        <v>-15.09625525746312</v>
      </c>
      <c r="AH472" s="61">
        <f t="shared" si="452"/>
        <v>136.83462181164555</v>
      </c>
      <c r="AI472" s="50" t="str">
        <f t="shared" si="432"/>
        <v>107.538871525172</v>
      </c>
      <c r="AJ472" s="50" t="str">
        <f t="shared" si="433"/>
        <v>1+1623.34879035305i</v>
      </c>
      <c r="AK472" s="50">
        <f t="shared" si="453"/>
        <v>1623.3490983583013</v>
      </c>
      <c r="AL472" s="50">
        <f t="shared" si="454"/>
        <v>1.5701803163112267</v>
      </c>
      <c r="AM472" s="50" t="str">
        <f t="shared" si="434"/>
        <v>1+1.96075069579897i</v>
      </c>
      <c r="AN472" s="50">
        <f t="shared" si="455"/>
        <v>2.2010323239507739</v>
      </c>
      <c r="AO472" s="50">
        <f t="shared" si="456"/>
        <v>1.0991738196883327</v>
      </c>
      <c r="AP472" s="50" t="str">
        <f t="shared" si="435"/>
        <v>1-5.63749810012342i</v>
      </c>
      <c r="AQ472" s="50">
        <f t="shared" si="457"/>
        <v>5.7255030197263164</v>
      </c>
      <c r="AR472" s="50">
        <f t="shared" si="458"/>
        <v>-1.3952387785481486</v>
      </c>
      <c r="AS472" s="59" t="str">
        <f t="shared" si="459"/>
        <v>-0.243074451496755-0.798649941168548i</v>
      </c>
      <c r="AT472" s="50">
        <f t="shared" si="460"/>
        <v>-1.5681276134390831</v>
      </c>
      <c r="AU472" s="61">
        <f t="shared" si="461"/>
        <v>-106.92797780353175</v>
      </c>
      <c r="AV472" s="32" t="str">
        <f t="shared" si="436"/>
        <v>-0.0000333333333333333</v>
      </c>
      <c r="AW472" s="32" t="str">
        <f t="shared" si="437"/>
        <v>0.104573370442612i</v>
      </c>
      <c r="AX472" s="32">
        <f t="shared" si="462"/>
        <v>0.104573370442612</v>
      </c>
      <c r="AY472" s="32">
        <f t="shared" si="463"/>
        <v>1.5707963267948966</v>
      </c>
      <c r="AZ472" s="32" t="str">
        <f t="shared" si="438"/>
        <v>1+42.6644827326629i</v>
      </c>
      <c r="BA472" s="32">
        <f t="shared" si="464"/>
        <v>42.67620047339841</v>
      </c>
      <c r="BB472" s="32">
        <f t="shared" si="465"/>
        <v>1.5473619178419455</v>
      </c>
      <c r="BC472" s="32" t="str">
        <f t="shared" si="439"/>
        <v>1+2047.89517116782i</v>
      </c>
      <c r="BD472" s="32">
        <f t="shared" si="466"/>
        <v>2047.8954153209274</v>
      </c>
      <c r="BE472" s="32">
        <f t="shared" si="467"/>
        <v>1.5703080205892872</v>
      </c>
      <c r="BF472" s="59" t="str">
        <f t="shared" si="468"/>
        <v>-0.000350954236171853+0.0152920364142168i</v>
      </c>
      <c r="BG472" s="50">
        <f t="shared" si="469"/>
        <v>-36.308406665961087</v>
      </c>
      <c r="BH472" s="61">
        <f t="shared" si="470"/>
        <v>91.314714843696208</v>
      </c>
      <c r="BI472" s="59" t="str">
        <f t="shared" si="471"/>
        <v>-0.00179480527629038-0.00200381170604389i</v>
      </c>
      <c r="BJ472" s="64">
        <f t="shared" si="472"/>
        <v>-51.4046619234242</v>
      </c>
      <c r="BK472" s="61">
        <f t="shared" si="473"/>
        <v>-131.8506633446583</v>
      </c>
      <c r="BL472" s="59" t="str">
        <f t="shared" si="425"/>
        <v>0.0122982919910195-0.00343681378358265i</v>
      </c>
      <c r="BM472" s="64">
        <f t="shared" si="474"/>
        <v>-37.876534279400154</v>
      </c>
      <c r="BN472" s="61">
        <f t="shared" si="426"/>
        <v>-15.61326295983552</v>
      </c>
      <c r="BO472" s="50">
        <f t="shared" si="475"/>
        <v>-51.4046619234242</v>
      </c>
      <c r="BP472" s="61">
        <f t="shared" si="476"/>
        <v>-131.8506633446583</v>
      </c>
    </row>
    <row r="473" spans="14:68" x14ac:dyDescent="0.25">
      <c r="N473" s="11">
        <v>55</v>
      </c>
      <c r="O473" s="51">
        <f t="shared" si="424"/>
        <v>354813.38923357555</v>
      </c>
      <c r="P473" s="49" t="str">
        <f t="shared" si="427"/>
        <v>37.1583961085025</v>
      </c>
      <c r="Q473" s="18" t="str">
        <f t="shared" si="428"/>
        <v>1+1747.39312576224i</v>
      </c>
      <c r="R473" s="18">
        <f t="shared" si="440"/>
        <v>1747.3934119027492</v>
      </c>
      <c r="S473" s="18">
        <f t="shared" si="441"/>
        <v>1.5702240457917909</v>
      </c>
      <c r="T473" s="18" t="str">
        <f t="shared" si="429"/>
        <v>1+2.00642244662069i</v>
      </c>
      <c r="U473" s="18">
        <f t="shared" si="442"/>
        <v>2.241814228321195</v>
      </c>
      <c r="V473" s="18">
        <f t="shared" si="443"/>
        <v>1.108429915047026</v>
      </c>
      <c r="W473" s="32" t="str">
        <f t="shared" si="430"/>
        <v>1-17.5620020284363i</v>
      </c>
      <c r="X473" s="18">
        <f t="shared" si="444"/>
        <v>17.590449546466989</v>
      </c>
      <c r="Y473" s="18">
        <f t="shared" si="445"/>
        <v>-1.5139166309356102</v>
      </c>
      <c r="Z473" s="32" t="str">
        <f t="shared" si="431"/>
        <v>-2.1473135294854+4.22834952639693i</v>
      </c>
      <c r="AA473" s="18">
        <f t="shared" si="446"/>
        <v>4.7423512218405106</v>
      </c>
      <c r="AB473" s="18">
        <f t="shared" si="447"/>
        <v>2.0406940858240272</v>
      </c>
      <c r="AC473" s="32" t="str">
        <f>IMDIV(IMSUM(COMPLEX(0,2*PI()*O473*Constants!$B$61*Constants!$B$62),COMPLEX(1,0)),IMSUM(COMPLEX(0,2*PI()*O473*Constants!$B$61*Constants!$B$62),COMPLEX(2,0)))</f>
        <v>0.976053815607859+0.106769248611798i</v>
      </c>
      <c r="AD473" s="18">
        <f t="shared" si="448"/>
        <v>0.98187612427015869</v>
      </c>
      <c r="AE473" s="18">
        <f t="shared" si="449"/>
        <v>0.10895548549123736</v>
      </c>
      <c r="AF473" s="66" t="str">
        <f t="shared" si="450"/>
        <v>-0.125145095614635+0.120347208079324i</v>
      </c>
      <c r="AG473" s="64">
        <f t="shared" si="451"/>
        <v>-15.207883790937586</v>
      </c>
      <c r="AH473" s="61">
        <f t="shared" si="452"/>
        <v>136.11964289555939</v>
      </c>
      <c r="AI473" s="50" t="str">
        <f t="shared" si="432"/>
        <v>107.538871525172</v>
      </c>
      <c r="AJ473" s="50" t="str">
        <f t="shared" si="433"/>
        <v>1+1661.16144119571i</v>
      </c>
      <c r="AK473" s="50">
        <f t="shared" si="453"/>
        <v>1661.1617421899073</v>
      </c>
      <c r="AL473" s="50">
        <f t="shared" si="454"/>
        <v>1.5701943384183283</v>
      </c>
      <c r="AM473" s="50" t="str">
        <f t="shared" si="434"/>
        <v>1+2.00642244662069i</v>
      </c>
      <c r="AN473" s="50">
        <f t="shared" si="455"/>
        <v>2.241814228321195</v>
      </c>
      <c r="AO473" s="50">
        <f t="shared" si="456"/>
        <v>1.108429915047026</v>
      </c>
      <c r="AP473" s="50" t="str">
        <f t="shared" si="435"/>
        <v>1-5.76881229985233i</v>
      </c>
      <c r="AQ473" s="50">
        <f t="shared" si="457"/>
        <v>5.8548437511967411</v>
      </c>
      <c r="AR473" s="50">
        <f t="shared" si="458"/>
        <v>-1.3991560515956825</v>
      </c>
      <c r="AS473" s="59" t="str">
        <f t="shared" si="459"/>
        <v>-0.243076292295203-0.814195024679199i</v>
      </c>
      <c r="AT473" s="50">
        <f t="shared" si="460"/>
        <v>-1.4146302975029115</v>
      </c>
      <c r="AU473" s="61">
        <f t="shared" si="461"/>
        <v>-106.62288922508883</v>
      </c>
      <c r="AV473" s="32" t="str">
        <f t="shared" si="436"/>
        <v>-0.0000333333333333333</v>
      </c>
      <c r="AW473" s="32" t="str">
        <f t="shared" si="437"/>
        <v>0.107009197153104i</v>
      </c>
      <c r="AX473" s="32">
        <f t="shared" si="462"/>
        <v>0.107009197153104</v>
      </c>
      <c r="AY473" s="32">
        <f t="shared" si="463"/>
        <v>1.5707963267948966</v>
      </c>
      <c r="AZ473" s="32" t="str">
        <f t="shared" si="438"/>
        <v>1+43.6582661996169i</v>
      </c>
      <c r="BA473" s="32">
        <f t="shared" si="464"/>
        <v>43.669717282764857</v>
      </c>
      <c r="BB473" s="32">
        <f t="shared" si="465"/>
        <v>1.5478951614533532</v>
      </c>
      <c r="BC473" s="32" t="str">
        <f t="shared" si="439"/>
        <v>1+2095.59677758162i</v>
      </c>
      <c r="BD473" s="32">
        <f t="shared" si="466"/>
        <v>2095.5970161771247</v>
      </c>
      <c r="BE473" s="32">
        <f t="shared" si="467"/>
        <v>1.5703191357938442</v>
      </c>
      <c r="BF473" s="59" t="str">
        <f t="shared" si="468"/>
        <v>-0.000335166976312356+0.014944308778052i</v>
      </c>
      <c r="BG473" s="50">
        <f t="shared" si="469"/>
        <v>-36.508299387235226</v>
      </c>
      <c r="BH473" s="61">
        <f t="shared" si="470"/>
        <v>91.284799089619796</v>
      </c>
      <c r="BI473" s="59" t="str">
        <f t="shared" si="471"/>
        <v>-0.00175656133481641-0.00191054336076353i</v>
      </c>
      <c r="BJ473" s="64">
        <f t="shared" si="472"/>
        <v>-51.716183178172827</v>
      </c>
      <c r="BK473" s="61">
        <f t="shared" si="473"/>
        <v>-132.59555801482071</v>
      </c>
      <c r="BL473" s="59" t="str">
        <f t="shared" si="425"/>
        <v>0.0122490530002614-0.00335971588413324i</v>
      </c>
      <c r="BM473" s="64">
        <f t="shared" si="474"/>
        <v>-37.922929684738158</v>
      </c>
      <c r="BN473" s="61">
        <f t="shared" si="426"/>
        <v>-15.338090135469045</v>
      </c>
      <c r="BO473" s="50">
        <f t="shared" si="475"/>
        <v>-51.716183178172827</v>
      </c>
      <c r="BP473" s="61">
        <f t="shared" si="476"/>
        <v>-132.59555801482071</v>
      </c>
    </row>
    <row r="474" spans="14:68" x14ac:dyDescent="0.25">
      <c r="N474" s="11">
        <v>56</v>
      </c>
      <c r="O474" s="51">
        <f t="shared" si="424"/>
        <v>363078.05477010203</v>
      </c>
      <c r="P474" s="49" t="str">
        <f t="shared" si="427"/>
        <v>37.1583961085025</v>
      </c>
      <c r="Q474" s="18" t="str">
        <f t="shared" si="428"/>
        <v>1+1788.09514035207i</v>
      </c>
      <c r="R474" s="18">
        <f t="shared" si="440"/>
        <v>1788.0954199792272</v>
      </c>
      <c r="S474" s="18">
        <f t="shared" si="441"/>
        <v>1.5702370724950678</v>
      </c>
      <c r="T474" s="18" t="str">
        <f t="shared" si="429"/>
        <v>1+2.05315802918177i</v>
      </c>
      <c r="U474" s="18">
        <f t="shared" si="442"/>
        <v>2.2837377022752792</v>
      </c>
      <c r="V474" s="18">
        <f t="shared" si="443"/>
        <v>1.1175585922309883</v>
      </c>
      <c r="W474" s="32" t="str">
        <f t="shared" si="430"/>
        <v>1-17.9710736061193i</v>
      </c>
      <c r="X474" s="18">
        <f t="shared" si="444"/>
        <v>17.998874591389256</v>
      </c>
      <c r="Y474" s="18">
        <f t="shared" si="445"/>
        <v>-1.5152086744400008</v>
      </c>
      <c r="Z474" s="32" t="str">
        <f t="shared" si="431"/>
        <v>-2.29564184639103+4.32684043927564i</v>
      </c>
      <c r="AA474" s="18">
        <f t="shared" si="446"/>
        <v>4.8981138894326079</v>
      </c>
      <c r="AB474" s="18">
        <f t="shared" si="447"/>
        <v>2.0585908042121703</v>
      </c>
      <c r="AC474" s="32" t="str">
        <f>IMDIV(IMSUM(COMPLEX(0,2*PI()*O474*Constants!$B$61*Constants!$B$62),COMPLEX(1,0)),IMSUM(COMPLEX(0,2*PI()*O474*Constants!$B$61*Constants!$B$62),COMPLEX(2,0)))</f>
        <v>0.977082171795898+0.104564273308135i</v>
      </c>
      <c r="AD474" s="18">
        <f t="shared" si="448"/>
        <v>0.98266131382783495</v>
      </c>
      <c r="AE474" s="18">
        <f t="shared" si="449"/>
        <v>0.1066111112319805</v>
      </c>
      <c r="AF474" s="66" t="str">
        <f t="shared" si="450"/>
        <v>-0.12203651233537+0.120310013914447i</v>
      </c>
      <c r="AG474" s="64">
        <f t="shared" si="451"/>
        <v>-15.321343566113585</v>
      </c>
      <c r="AH474" s="61">
        <f t="shared" si="452"/>
        <v>135.40817337444108</v>
      </c>
      <c r="AI474" s="50" t="str">
        <f t="shared" si="432"/>
        <v>107.538871525172</v>
      </c>
      <c r="AJ474" s="50" t="str">
        <f t="shared" si="433"/>
        <v>1+1699.85486182257i</v>
      </c>
      <c r="AK474" s="50">
        <f t="shared" si="453"/>
        <v>1699.8551559653042</v>
      </c>
      <c r="AL474" s="50">
        <f t="shared" si="454"/>
        <v>1.5702080413435329</v>
      </c>
      <c r="AM474" s="50" t="str">
        <f t="shared" si="434"/>
        <v>1+2.05315802918177i</v>
      </c>
      <c r="AN474" s="50">
        <f t="shared" si="455"/>
        <v>2.2837377022752792</v>
      </c>
      <c r="AO474" s="50">
        <f t="shared" si="456"/>
        <v>1.1175585922309883</v>
      </c>
      <c r="AP474" s="50" t="str">
        <f t="shared" si="435"/>
        <v>1-5.90318520022193i</v>
      </c>
      <c r="AQ474" s="50">
        <f t="shared" si="457"/>
        <v>5.9872861555231545</v>
      </c>
      <c r="AR474" s="50">
        <f t="shared" si="458"/>
        <v>-1.4029893041179204</v>
      </c>
      <c r="AS474" s="59" t="str">
        <f t="shared" si="459"/>
        <v>-0.243078050244133-0.830171805069315i</v>
      </c>
      <c r="AT474" s="50">
        <f t="shared" si="460"/>
        <v>-1.259404101342501</v>
      </c>
      <c r="AU474" s="61">
        <f t="shared" si="461"/>
        <v>-106.32026886102376</v>
      </c>
      <c r="AV474" s="32" t="str">
        <f t="shared" si="436"/>
        <v>-0.0000333333333333333</v>
      </c>
      <c r="AW474" s="32" t="str">
        <f t="shared" si="437"/>
        <v>0.109501761556361i</v>
      </c>
      <c r="AX474" s="32">
        <f t="shared" si="462"/>
        <v>0.109501761556361</v>
      </c>
      <c r="AY474" s="32">
        <f t="shared" si="463"/>
        <v>1.5707963267948966</v>
      </c>
      <c r="AZ474" s="32" t="str">
        <f t="shared" si="438"/>
        <v>1+44.6751978571959i</v>
      </c>
      <c r="BA474" s="32">
        <f t="shared" si="464"/>
        <v>44.686388347902998</v>
      </c>
      <c r="BB474" s="32">
        <f t="shared" si="465"/>
        <v>1.5484162795455054</v>
      </c>
      <c r="BC474" s="32" t="str">
        <f t="shared" si="439"/>
        <v>1+2144.4094971454i</v>
      </c>
      <c r="BD474" s="32">
        <f t="shared" si="466"/>
        <v>2144.4097303098092</v>
      </c>
      <c r="BE474" s="32">
        <f t="shared" si="467"/>
        <v>1.57032999798557</v>
      </c>
      <c r="BF474" s="59" t="str">
        <f t="shared" si="468"/>
        <v>-0.00032008953176696+0.014604472269638i</v>
      </c>
      <c r="BG474" s="50">
        <f t="shared" si="469"/>
        <v>-36.708196934371571</v>
      </c>
      <c r="BH474" s="61">
        <f t="shared" si="470"/>
        <v>91.255563580053689</v>
      </c>
      <c r="BI474" s="59" t="str">
        <f t="shared" si="471"/>
        <v>-0.0017180016518814-0.001820788836306i</v>
      </c>
      <c r="BJ474" s="64">
        <f t="shared" si="472"/>
        <v>-52.029540500485155</v>
      </c>
      <c r="BK474" s="61">
        <f t="shared" si="473"/>
        <v>-133.33626304550518</v>
      </c>
      <c r="BL474" s="59" t="str">
        <f t="shared" si="425"/>
        <v>0.0122020278454556-0.00328429733977734i</v>
      </c>
      <c r="BM474" s="64">
        <f t="shared" si="474"/>
        <v>-37.967601035714075</v>
      </c>
      <c r="BN474" s="61">
        <f t="shared" si="426"/>
        <v>-15.064705280970047</v>
      </c>
      <c r="BO474" s="50">
        <f t="shared" si="475"/>
        <v>-52.029540500485155</v>
      </c>
      <c r="BP474" s="61">
        <f t="shared" si="476"/>
        <v>-133.33626304550518</v>
      </c>
    </row>
    <row r="475" spans="14:68" x14ac:dyDescent="0.25">
      <c r="N475" s="11">
        <v>57</v>
      </c>
      <c r="O475" s="51">
        <f t="shared" si="424"/>
        <v>371535.2290971732</v>
      </c>
      <c r="P475" s="49" t="str">
        <f t="shared" si="427"/>
        <v>37.1583961085025</v>
      </c>
      <c r="Q475" s="18" t="str">
        <f t="shared" si="428"/>
        <v>1+1829.74522665354i</v>
      </c>
      <c r="R475" s="18">
        <f t="shared" si="440"/>
        <v>1829.7454999156068</v>
      </c>
      <c r="S475" s="18">
        <f t="shared" si="441"/>
        <v>1.5702498026745599</v>
      </c>
      <c r="T475" s="18" t="str">
        <f t="shared" si="429"/>
        <v>1+2.10098222330667i</v>
      </c>
      <c r="U475" s="18">
        <f t="shared" si="442"/>
        <v>2.3268275188871734</v>
      </c>
      <c r="V475" s="18">
        <f t="shared" si="443"/>
        <v>1.1265586046843072</v>
      </c>
      <c r="W475" s="32" t="str">
        <f t="shared" si="430"/>
        <v>1-18.3896736849035i</v>
      </c>
      <c r="X475" s="18">
        <f t="shared" si="444"/>
        <v>18.4168427868957</v>
      </c>
      <c r="Y475" s="18">
        <f t="shared" si="445"/>
        <v>-1.5164714869901323</v>
      </c>
      <c r="Z475" s="32" t="str">
        <f t="shared" si="431"/>
        <v>-2.45096066150722+4.42762550022774i</v>
      </c>
      <c r="AA475" s="18">
        <f t="shared" si="446"/>
        <v>5.0607386550307911</v>
      </c>
      <c r="AB475" s="18">
        <f t="shared" si="447"/>
        <v>2.0763693753461072</v>
      </c>
      <c r="AC475" s="32" t="str">
        <f>IMDIV(IMSUM(COMPLEX(0,2*PI()*O475*Constants!$B$61*Constants!$B$62),COMPLEX(1,0)),IMSUM(COMPLEX(0,2*PI()*O475*Constants!$B$61*Constants!$B$62),COMPLEX(2,0)))</f>
        <v>0.978068400307413+0.102395335739561i</v>
      </c>
      <c r="AD475" s="18">
        <f t="shared" si="448"/>
        <v>0.98341374835880735</v>
      </c>
      <c r="AE475" s="18">
        <f t="shared" si="449"/>
        <v>0.10431139852505418</v>
      </c>
      <c r="AF475" s="66" t="str">
        <f t="shared" si="450"/>
        <v>-0.118951466100311+0.120202214137906i</v>
      </c>
      <c r="AG475" s="64">
        <f t="shared" si="451"/>
        <v>-15.436639802219645</v>
      </c>
      <c r="AH475" s="61">
        <f t="shared" si="452"/>
        <v>134.70035196463837</v>
      </c>
      <c r="AI475" s="50" t="str">
        <f t="shared" si="432"/>
        <v>107.538871525172</v>
      </c>
      <c r="AJ475" s="50" t="str">
        <f t="shared" si="433"/>
        <v>1+1739.44956799741i</v>
      </c>
      <c r="AK475" s="50">
        <f t="shared" si="453"/>
        <v>1739.4498554446393</v>
      </c>
      <c r="AL475" s="50">
        <f t="shared" si="454"/>
        <v>1.5702214323522923</v>
      </c>
      <c r="AM475" s="50" t="str">
        <f t="shared" si="434"/>
        <v>1+2.10098222330667i</v>
      </c>
      <c r="AN475" s="50">
        <f t="shared" si="455"/>
        <v>2.3268275188871734</v>
      </c>
      <c r="AO475" s="50">
        <f t="shared" si="456"/>
        <v>1.1265586046843072</v>
      </c>
      <c r="AP475" s="50" t="str">
        <f t="shared" si="435"/>
        <v>1-6.04068804752256i</v>
      </c>
      <c r="AQ475" s="50">
        <f t="shared" si="457"/>
        <v>6.1229006269481392</v>
      </c>
      <c r="AR475" s="50">
        <f t="shared" si="458"/>
        <v>-1.4067401177292178</v>
      </c>
      <c r="AS475" s="59" t="str">
        <f t="shared" si="459"/>
        <v>-0.24307972907238-0.846588753445978i</v>
      </c>
      <c r="AT475" s="50">
        <f t="shared" si="460"/>
        <v>-1.1025007238745717</v>
      </c>
      <c r="AU475" s="61">
        <f t="shared" si="461"/>
        <v>-106.0202791698363</v>
      </c>
      <c r="AV475" s="32" t="str">
        <f t="shared" si="436"/>
        <v>-0.0000333333333333333</v>
      </c>
      <c r="AW475" s="32" t="str">
        <f t="shared" si="437"/>
        <v>0.112052385243022i</v>
      </c>
      <c r="AX475" s="32">
        <f t="shared" si="462"/>
        <v>0.112052385243022</v>
      </c>
      <c r="AY475" s="32">
        <f t="shared" si="463"/>
        <v>1.5707963267948966</v>
      </c>
      <c r="AZ475" s="32" t="str">
        <f t="shared" si="438"/>
        <v>1+45.7158168960247i</v>
      </c>
      <c r="BA475" s="32">
        <f t="shared" si="464"/>
        <v>45.726752721692989</v>
      </c>
      <c r="BB475" s="32">
        <f t="shared" si="465"/>
        <v>1.5489255472893277</v>
      </c>
      <c r="BC475" s="32" t="str">
        <f t="shared" si="439"/>
        <v>1+2194.35921100919i</v>
      </c>
      <c r="BD475" s="32">
        <f t="shared" si="466"/>
        <v>2194.3594388661295</v>
      </c>
      <c r="BE475" s="32">
        <f t="shared" si="467"/>
        <v>1.5703406129237318</v>
      </c>
      <c r="BF475" s="59" t="str">
        <f t="shared" si="468"/>
        <v>-0.000305690019630514+0.0142723488730853i</v>
      </c>
      <c r="BG475" s="50">
        <f t="shared" si="469"/>
        <v>-36.908099090387971</v>
      </c>
      <c r="BH475" s="61">
        <f t="shared" si="470"/>
        <v>91.226992878847</v>
      </c>
      <c r="BI475" s="59" t="str">
        <f t="shared" si="471"/>
        <v>-0.00167920565948622-0.00173446144034807i</v>
      </c>
      <c r="BJ475" s="64">
        <f t="shared" si="472"/>
        <v>-52.344738892607609</v>
      </c>
      <c r="BK475" s="61">
        <f t="shared" si="473"/>
        <v>-134.07265515651457</v>
      </c>
      <c r="BL475" s="59" t="str">
        <f t="shared" si="425"/>
        <v>0.0121571170883633-0.00321052496463619i</v>
      </c>
      <c r="BM475" s="64">
        <f t="shared" si="474"/>
        <v>-38.010599814262555</v>
      </c>
      <c r="BN475" s="61">
        <f t="shared" si="426"/>
        <v>-14.793286290989307</v>
      </c>
      <c r="BO475" s="50">
        <f t="shared" si="475"/>
        <v>-52.344738892607609</v>
      </c>
      <c r="BP475" s="61">
        <f t="shared" si="476"/>
        <v>-134.07265515651457</v>
      </c>
    </row>
    <row r="476" spans="14:68" x14ac:dyDescent="0.25">
      <c r="N476" s="11">
        <v>58</v>
      </c>
      <c r="O476" s="51">
        <f t="shared" si="424"/>
        <v>380189.39632056188</v>
      </c>
      <c r="P476" s="49" t="str">
        <f t="shared" si="427"/>
        <v>37.1583961085025</v>
      </c>
      <c r="Q476" s="18" t="str">
        <f t="shared" si="428"/>
        <v>1+1872.36546809373i</v>
      </c>
      <c r="R476" s="18">
        <f t="shared" si="440"/>
        <v>1872.3657351355939</v>
      </c>
      <c r="S476" s="18">
        <f t="shared" si="441"/>
        <v>1.5702622430799602</v>
      </c>
      <c r="T476" s="18" t="str">
        <f t="shared" si="429"/>
        <v>1+2.14992038601615i</v>
      </c>
      <c r="U476" s="18">
        <f t="shared" si="442"/>
        <v>2.3711089528336382</v>
      </c>
      <c r="V476" s="18">
        <f t="shared" si="443"/>
        <v>1.1354288913210882</v>
      </c>
      <c r="W476" s="32" t="str">
        <f t="shared" si="430"/>
        <v>1-18.8180242120915i</v>
      </c>
      <c r="X476" s="18">
        <f t="shared" si="444"/>
        <v>18.844575751310028</v>
      </c>
      <c r="Y476" s="18">
        <f t="shared" si="445"/>
        <v>-1.5177057220263948</v>
      </c>
      <c r="Z476" s="32" t="str">
        <f t="shared" si="431"/>
        <v>-2.61359942686483+4.53075814682662i</v>
      </c>
      <c r="AA476" s="18">
        <f t="shared" si="446"/>
        <v>5.2305517251188673</v>
      </c>
      <c r="AB476" s="18">
        <f t="shared" si="447"/>
        <v>2.0940250507088196</v>
      </c>
      <c r="AC476" s="32" t="str">
        <f>IMDIV(IMSUM(COMPLEX(0,2*PI()*O476*Constants!$B$61*Constants!$B$62),COMPLEX(1,0)),IMSUM(COMPLEX(0,2*PI()*O476*Constants!$B$61*Constants!$B$62),COMPLEX(2,0)))</f>
        <v>0.979014055088476+0.100262468411328i</v>
      </c>
      <c r="AD476" s="18">
        <f t="shared" si="448"/>
        <v>0.9841346872419009</v>
      </c>
      <c r="AE476" s="18">
        <f t="shared" si="449"/>
        <v>0.10205587413700984</v>
      </c>
      <c r="AF476" s="66" t="str">
        <f t="shared" si="450"/>
        <v>-0.11589204168573+0.120025127751034i</v>
      </c>
      <c r="AG476" s="64">
        <f t="shared" si="451"/>
        <v>-15.553776233253007</v>
      </c>
      <c r="AH476" s="61">
        <f t="shared" si="452"/>
        <v>133.99632500000686</v>
      </c>
      <c r="AI476" s="50" t="str">
        <f t="shared" si="432"/>
        <v>107.538871525172</v>
      </c>
      <c r="AJ476" s="50" t="str">
        <f t="shared" si="433"/>
        <v>1+1779.96655335753i</v>
      </c>
      <c r="AK476" s="50">
        <f t="shared" si="453"/>
        <v>1779.9668342616624</v>
      </c>
      <c r="AL476" s="50">
        <f t="shared" si="454"/>
        <v>1.5702345185446773</v>
      </c>
      <c r="AM476" s="50" t="str">
        <f t="shared" si="434"/>
        <v>1+2.14992038601615i</v>
      </c>
      <c r="AN476" s="50">
        <f t="shared" si="455"/>
        <v>2.3711089528336382</v>
      </c>
      <c r="AO476" s="50">
        <f t="shared" si="456"/>
        <v>1.1354288913210882</v>
      </c>
      <c r="AP476" s="50" t="str">
        <f t="shared" si="435"/>
        <v>1-6.18139374758394i</v>
      </c>
      <c r="AQ476" s="50">
        <f t="shared" si="457"/>
        <v>6.2617592306531407</v>
      </c>
      <c r="AR476" s="50">
        <f t="shared" si="458"/>
        <v>-1.4104100587981414</v>
      </c>
      <c r="AS476" s="59" t="str">
        <f t="shared" si="459"/>
        <v>-0.243081332340959-0.863454574298745i</v>
      </c>
      <c r="AT476" s="50">
        <f t="shared" si="460"/>
        <v>-0.94397120892446296</v>
      </c>
      <c r="AU476" s="61">
        <f t="shared" si="461"/>
        <v>-105.72307110038207</v>
      </c>
      <c r="AV476" s="32" t="str">
        <f t="shared" si="436"/>
        <v>-0.0000333333333333333</v>
      </c>
      <c r="AW476" s="32" t="str">
        <f t="shared" si="437"/>
        <v>0.114662420587528i</v>
      </c>
      <c r="AX476" s="32">
        <f t="shared" si="462"/>
        <v>0.114662420587528</v>
      </c>
      <c r="AY476" s="32">
        <f t="shared" si="463"/>
        <v>1.5707963267948966</v>
      </c>
      <c r="AZ476" s="32" t="str">
        <f t="shared" si="438"/>
        <v>1+46.7806750660921i</v>
      </c>
      <c r="BA476" s="32">
        <f t="shared" si="464"/>
        <v>46.79136201949342</v>
      </c>
      <c r="BB476" s="32">
        <f t="shared" si="465"/>
        <v>1.5494232336480698</v>
      </c>
      <c r="BC476" s="32" t="str">
        <f t="shared" si="439"/>
        <v>1+2245.47240317243i</v>
      </c>
      <c r="BD476" s="32">
        <f t="shared" si="466"/>
        <v>2245.4726258427131</v>
      </c>
      <c r="BE476" s="32">
        <f t="shared" si="467"/>
        <v>1.570350986236501</v>
      </c>
      <c r="BF476" s="59" t="str">
        <f t="shared" si="468"/>
        <v>-0.000291937986335616+0.013947764517498i</v>
      </c>
      <c r="BG476" s="50">
        <f t="shared" si="469"/>
        <v>-37.10800564804957</v>
      </c>
      <c r="BH476" s="61">
        <f t="shared" si="470"/>
        <v>91.199071898011098</v>
      </c>
      <c r="BI476" s="59" t="str">
        <f t="shared" si="471"/>
        <v>-0.00164024892877198-0.00165147480098994i</v>
      </c>
      <c r="BJ476" s="64">
        <f t="shared" si="472"/>
        <v>-52.661781881302574</v>
      </c>
      <c r="BK476" s="61">
        <f t="shared" si="473"/>
        <v>-134.80460310198194</v>
      </c>
      <c r="BL476" s="59" t="str">
        <f t="shared" si="425"/>
        <v>0.0121142257485548-0.00313836599237832i</v>
      </c>
      <c r="BM476" s="64">
        <f t="shared" si="474"/>
        <v>-38.051976856974015</v>
      </c>
      <c r="BN476" s="61">
        <f t="shared" si="426"/>
        <v>-14.523999202370964</v>
      </c>
      <c r="BO476" s="50">
        <f t="shared" si="475"/>
        <v>-52.661781881302574</v>
      </c>
      <c r="BP476" s="61">
        <f t="shared" si="476"/>
        <v>-134.80460310198194</v>
      </c>
    </row>
    <row r="477" spans="14:68" x14ac:dyDescent="0.25">
      <c r="N477" s="11">
        <v>59</v>
      </c>
      <c r="O477" s="51">
        <f t="shared" si="424"/>
        <v>389045.14499428123</v>
      </c>
      <c r="P477" s="49" t="str">
        <f t="shared" si="427"/>
        <v>37.1583961085025</v>
      </c>
      <c r="Q477" s="18" t="str">
        <f t="shared" si="428"/>
        <v>1+1915.97846248879i</v>
      </c>
      <c r="R477" s="18">
        <f t="shared" si="440"/>
        <v>1915.9787234520395</v>
      </c>
      <c r="S477" s="18">
        <f t="shared" si="441"/>
        <v>1.5702744003073208</v>
      </c>
      <c r="T477" s="18" t="str">
        <f t="shared" si="429"/>
        <v>1+2.19999846497186i</v>
      </c>
      <c r="U477" s="18">
        <f t="shared" si="442"/>
        <v>2.4166077972808373</v>
      </c>
      <c r="V477" s="18">
        <f t="shared" si="443"/>
        <v>1.1441685708205842</v>
      </c>
      <c r="W477" s="32" t="str">
        <f t="shared" si="430"/>
        <v>1-19.2563523048028i</v>
      </c>
      <c r="X477" s="18">
        <f t="shared" si="444"/>
        <v>19.282300279963597</v>
      </c>
      <c r="Y477" s="18">
        <f t="shared" si="445"/>
        <v>-1.5189120189067769</v>
      </c>
      <c r="Z477" s="32" t="str">
        <f t="shared" si="431"/>
        <v>-2.78390312109053+4.63629306136661i</v>
      </c>
      <c r="AA477" s="18">
        <f t="shared" si="446"/>
        <v>5.4078951486224076</v>
      </c>
      <c r="AB477" s="18">
        <f t="shared" si="447"/>
        <v>2.1115531359809547</v>
      </c>
      <c r="AC477" s="32" t="str">
        <f>IMDIV(IMSUM(COMPLEX(0,2*PI()*O477*Constants!$B$61*Constants!$B$62),COMPLEX(1,0)),IMSUM(COMPLEX(0,2*PI()*O477*Constants!$B$61*Constants!$B$62),COMPLEX(2,0)))</f>
        <v>0.979920647373647+0.0981656554569021i</v>
      </c>
      <c r="AD477" s="18">
        <f t="shared" si="448"/>
        <v>0.98482535053707398</v>
      </c>
      <c r="AE477" s="18">
        <f t="shared" si="449"/>
        <v>9.9844043206486738E-2</v>
      </c>
      <c r="AF477" s="66" t="str">
        <f t="shared" si="450"/>
        <v>-0.112860287145223+0.119780151849188i</v>
      </c>
      <c r="AG477" s="64">
        <f t="shared" si="451"/>
        <v>-15.672755023776059</v>
      </c>
      <c r="AH477" s="61">
        <f t="shared" si="452"/>
        <v>133.29624558536679</v>
      </c>
      <c r="AI477" s="50" t="str">
        <f t="shared" si="432"/>
        <v>107.538871525172</v>
      </c>
      <c r="AJ477" s="50" t="str">
        <f t="shared" si="433"/>
        <v>1+1821.42730054489i</v>
      </c>
      <c r="AK477" s="50">
        <f t="shared" si="453"/>
        <v>1821.4275750548645</v>
      </c>
      <c r="AL477" s="50">
        <f t="shared" si="454"/>
        <v>1.5702473068591427</v>
      </c>
      <c r="AM477" s="50" t="str">
        <f t="shared" si="434"/>
        <v>1+2.19999846497186i</v>
      </c>
      <c r="AN477" s="50">
        <f t="shared" si="455"/>
        <v>2.4166077972808373</v>
      </c>
      <c r="AO477" s="50">
        <f t="shared" si="456"/>
        <v>1.1441685708205842</v>
      </c>
      <c r="AP477" s="50" t="str">
        <f t="shared" si="435"/>
        <v>1-6.32537690443072i</v>
      </c>
      <c r="AQ477" s="50">
        <f t="shared" si="457"/>
        <v>6.4039357416440055</v>
      </c>
      <c r="AR477" s="50">
        <f t="shared" si="458"/>
        <v>-1.4140006775476472</v>
      </c>
      <c r="AS477" s="59" t="str">
        <f t="shared" si="459"/>
        <v>-0.24308286345061-0.880778210114883i</v>
      </c>
      <c r="AT477" s="50">
        <f t="shared" si="460"/>
        <v>-0.78386588919543987</v>
      </c>
      <c r="AU477" s="61">
        <f t="shared" si="461"/>
        <v>-105.42878436739703</v>
      </c>
      <c r="AV477" s="32" t="str">
        <f t="shared" si="436"/>
        <v>-0.0000333333333333333</v>
      </c>
      <c r="AW477" s="32" t="str">
        <f t="shared" si="437"/>
        <v>0.117333251465166i</v>
      </c>
      <c r="AX477" s="32">
        <f t="shared" si="462"/>
        <v>0.117333251465166</v>
      </c>
      <c r="AY477" s="32">
        <f t="shared" si="463"/>
        <v>1.5707963267948966</v>
      </c>
      <c r="AZ477" s="32" t="str">
        <f t="shared" si="438"/>
        <v>1+47.8703369692951i</v>
      </c>
      <c r="BA477" s="32">
        <f t="shared" si="464"/>
        <v>47.880780711616019</v>
      </c>
      <c r="BB477" s="32">
        <f t="shared" si="465"/>
        <v>1.5499096015148788</v>
      </c>
      <c r="BC477" s="32" t="str">
        <f t="shared" si="439"/>
        <v>1+2297.77617452617i</v>
      </c>
      <c r="BD477" s="32">
        <f t="shared" si="466"/>
        <v>2297.7763921278593</v>
      </c>
      <c r="BE477" s="32">
        <f t="shared" si="467"/>
        <v>1.5703611234239363</v>
      </c>
      <c r="BF477" s="59" t="str">
        <f t="shared" si="468"/>
        <v>-0.000278804343816401+0.013630548994307i</v>
      </c>
      <c r="BG477" s="50">
        <f t="shared" si="469"/>
        <v>-37.307916409430668</v>
      </c>
      <c r="BH477" s="61">
        <f t="shared" si="470"/>
        <v>91.171785890008323</v>
      </c>
      <c r="BI477" s="59" t="str">
        <f t="shared" si="471"/>
        <v>-0.00160120329002543-0.00157174290008306i</v>
      </c>
      <c r="BJ477" s="64">
        <f t="shared" si="472"/>
        <v>-52.980671433206737</v>
      </c>
      <c r="BK477" s="61">
        <f t="shared" si="473"/>
        <v>-135.5319685246248</v>
      </c>
      <c r="BL477" s="59" t="str">
        <f t="shared" si="425"/>
        <v>0.0120732631043263-0.00306778808902111i</v>
      </c>
      <c r="BM477" s="64">
        <f t="shared" si="474"/>
        <v>-38.091782298626107</v>
      </c>
      <c r="BN477" s="61">
        <f t="shared" si="426"/>
        <v>-14.256998477388679</v>
      </c>
      <c r="BO477" s="50">
        <f t="shared" si="475"/>
        <v>-52.980671433206737</v>
      </c>
      <c r="BP477" s="61">
        <f t="shared" si="476"/>
        <v>-135.5319685246248</v>
      </c>
    </row>
    <row r="478" spans="14:68" x14ac:dyDescent="0.25">
      <c r="N478" s="11">
        <v>60</v>
      </c>
      <c r="O478" s="51">
        <f t="shared" si="424"/>
        <v>398107.17055349716</v>
      </c>
      <c r="P478" s="49" t="str">
        <f t="shared" si="427"/>
        <v>37.1583961085025</v>
      </c>
      <c r="Q478" s="18" t="str">
        <f t="shared" si="428"/>
        <v>1+1960.60733402563i</v>
      </c>
      <c r="R478" s="18">
        <f t="shared" si="440"/>
        <v>1960.607589048632</v>
      </c>
      <c r="S478" s="18">
        <f t="shared" si="441"/>
        <v>1.5702862808025504</v>
      </c>
      <c r="T478" s="18" t="str">
        <f t="shared" si="429"/>
        <v>1+2.25124301223412i</v>
      </c>
      <c r="U478" s="18">
        <f t="shared" si="442"/>
        <v>2.4633503811136888</v>
      </c>
      <c r="V478" s="18">
        <f t="shared" si="443"/>
        <v>1.1527769356156026</v>
      </c>
      <c r="W478" s="32" t="str">
        <f t="shared" si="430"/>
        <v>1-19.704890370394i</v>
      </c>
      <c r="X478" s="18">
        <f t="shared" si="444"/>
        <v>19.730248465471647</v>
      </c>
      <c r="Y478" s="18">
        <f t="shared" si="445"/>
        <v>-1.5200910031751216</v>
      </c>
      <c r="Z478" s="32" t="str">
        <f t="shared" si="431"/>
        <v>-2.96223298115277+4.74428619985633i</v>
      </c>
      <c r="AA478" s="18">
        <f t="shared" si="446"/>
        <v>5.5931275491245902</v>
      </c>
      <c r="AB478" s="18">
        <f t="shared" si="447"/>
        <v>2.1289490024058226</v>
      </c>
      <c r="AC478" s="32" t="str">
        <f>IMDIV(IMSUM(COMPLEX(0,2*PI()*O478*Constants!$B$61*Constants!$B$62),COMPLEX(1,0)),IMSUM(COMPLEX(0,2*PI()*O478*Constants!$B$61*Constants!$B$62),COMPLEX(2,0)))</f>
        <v>0.980789645556828+0.0961048360060707i</v>
      </c>
      <c r="AD478" s="18">
        <f t="shared" si="448"/>
        <v>0.98548691941356692</v>
      </c>
      <c r="AE478" s="18">
        <f t="shared" si="449"/>
        <v>9.767539150801996E-2</v>
      </c>
      <c r="AF478" s="66" t="str">
        <f t="shared" si="450"/>
        <v>-0.109858207664498+0.119468762024036i</v>
      </c>
      <c r="AG478" s="64">
        <f t="shared" si="451"/>
        <v>-15.793576697843186</v>
      </c>
      <c r="AH478" s="61">
        <f t="shared" si="452"/>
        <v>132.60027271503222</v>
      </c>
      <c r="AI478" s="50" t="str">
        <f t="shared" si="432"/>
        <v>107.538871525172</v>
      </c>
      <c r="AJ478" s="50" t="str">
        <f t="shared" si="433"/>
        <v>1+1863.85379259643i</v>
      </c>
      <c r="AK478" s="50">
        <f t="shared" si="453"/>
        <v>1863.8540608577955</v>
      </c>
      <c r="AL478" s="50">
        <f t="shared" si="454"/>
        <v>1.5702598040762048</v>
      </c>
      <c r="AM478" s="50" t="str">
        <f t="shared" si="434"/>
        <v>1+2.25124301223412i</v>
      </c>
      <c r="AN478" s="50">
        <f t="shared" si="455"/>
        <v>2.4633503811136888</v>
      </c>
      <c r="AO478" s="50">
        <f t="shared" si="456"/>
        <v>1.1527769356156026</v>
      </c>
      <c r="AP478" s="50" t="str">
        <f t="shared" si="435"/>
        <v>1-6.47271385983847i</v>
      </c>
      <c r="AQ478" s="50">
        <f t="shared" si="457"/>
        <v>6.5495056845036039</v>
      </c>
      <c r="AR478" s="50">
        <f t="shared" si="458"/>
        <v>-1.4175135072448031</v>
      </c>
      <c r="AS478" s="59" t="str">
        <f t="shared" si="459"/>
        <v>-0.243084325649015-0.89856884612081i</v>
      </c>
      <c r="AT478" s="50">
        <f t="shared" si="460"/>
        <v>-0.62223433487224267</v>
      </c>
      <c r="AU478" s="61">
        <f t="shared" si="461"/>
        <v>-105.13754774972205</v>
      </c>
      <c r="AV478" s="32" t="str">
        <f t="shared" si="436"/>
        <v>-0.0000333333333333333</v>
      </c>
      <c r="AW478" s="32" t="str">
        <f t="shared" si="437"/>
        <v>0.120066293985819i</v>
      </c>
      <c r="AX478" s="32">
        <f t="shared" si="462"/>
        <v>0.120066293985819</v>
      </c>
      <c r="AY478" s="32">
        <f t="shared" si="463"/>
        <v>1.5707963267948966</v>
      </c>
      <c r="AZ478" s="32" t="str">
        <f t="shared" si="438"/>
        <v>1+48.9853803587979i</v>
      </c>
      <c r="BA478" s="32">
        <f t="shared" si="464"/>
        <v>48.995586422616711</v>
      </c>
      <c r="BB478" s="32">
        <f t="shared" si="465"/>
        <v>1.5503849078474912</v>
      </c>
      <c r="BC478" s="32" t="str">
        <f t="shared" si="439"/>
        <v>1+2351.2982572223i</v>
      </c>
      <c r="BD478" s="32">
        <f t="shared" si="466"/>
        <v>2351.2984698707701</v>
      </c>
      <c r="BE478" s="32">
        <f t="shared" si="467"/>
        <v>1.5703710298609004</v>
      </c>
      <c r="BF478" s="59" t="str">
        <f t="shared" si="468"/>
        <v>-0.000266261308501961+0.0133205358760083i</v>
      </c>
      <c r="BG478" s="50">
        <f t="shared" si="469"/>
        <v>-37.507831185497913</v>
      </c>
      <c r="BH478" s="61">
        <f t="shared" si="470"/>
        <v>91.145120440201836</v>
      </c>
      <c r="BI478" s="59" t="str">
        <f t="shared" si="471"/>
        <v>-0.00156213694048104-0.00149518010537054i</v>
      </c>
      <c r="BJ478" s="64">
        <f t="shared" si="472"/>
        <v>-53.30140788334112</v>
      </c>
      <c r="BK478" s="61">
        <f t="shared" si="473"/>
        <v>-136.25460684476604</v>
      </c>
      <c r="BL478" s="59" t="str">
        <f t="shared" si="425"/>
        <v>0.0120341425024393-0.00299875936395576i</v>
      </c>
      <c r="BM478" s="64">
        <f t="shared" si="474"/>
        <v>-38.130065520370131</v>
      </c>
      <c r="BN478" s="61">
        <f t="shared" si="426"/>
        <v>-13.992427309520133</v>
      </c>
      <c r="BO478" s="50">
        <f t="shared" si="475"/>
        <v>-53.30140788334112</v>
      </c>
      <c r="BP478" s="61">
        <f t="shared" si="476"/>
        <v>-136.25460684476604</v>
      </c>
    </row>
    <row r="479" spans="14:68" x14ac:dyDescent="0.25">
      <c r="N479" s="11">
        <v>61</v>
      </c>
      <c r="O479" s="51">
        <f t="shared" si="424"/>
        <v>407380.27780411334</v>
      </c>
      <c r="P479" s="49" t="str">
        <f t="shared" si="427"/>
        <v>37.1583961085025</v>
      </c>
      <c r="Q479" s="18" t="str">
        <f t="shared" si="428"/>
        <v>1+2006.27574552268i</v>
      </c>
      <c r="R479" s="18">
        <f t="shared" si="440"/>
        <v>2006.2759947406503</v>
      </c>
      <c r="S479" s="18">
        <f t="shared" si="441"/>
        <v>1.5702978908648313</v>
      </c>
      <c r="T479" s="18" t="str">
        <f t="shared" si="429"/>
        <v>1+2.30368119834019i</v>
      </c>
      <c r="U479" s="18">
        <f t="shared" si="442"/>
        <v>2.5113635864976014</v>
      </c>
      <c r="V479" s="18">
        <f t="shared" si="443"/>
        <v>1.1612534456247947</v>
      </c>
      <c r="W479" s="32" t="str">
        <f t="shared" si="430"/>
        <v>1-20.1638762296847i</v>
      </c>
      <c r="X479" s="18">
        <f t="shared" si="444"/>
        <v>20.188657820817202</v>
      </c>
      <c r="Y479" s="18">
        <f t="shared" si="445"/>
        <v>-1.5212432868267116</v>
      </c>
      <c r="Z479" s="32" t="str">
        <f t="shared" si="431"/>
        <v>-3.14896726859389+4.85479482168728i</v>
      </c>
      <c r="AA479" s="18">
        <f t="shared" si="446"/>
        <v>5.7866248901546475</v>
      </c>
      <c r="AB479" s="18">
        <f t="shared" si="447"/>
        <v>2.1462080982206961</v>
      </c>
      <c r="AC479" s="32" t="str">
        <f>IMDIV(IMSUM(COMPLEX(0,2*PI()*O479*Constants!$B$61*Constants!$B$62),COMPLEX(1,0)),IMSUM(COMPLEX(0,2*PI()*O479*Constants!$B$61*Constants!$B$62),COMPLEX(2,0)))</f>
        <v>0.98162247520823+0.0940799074107379i</v>
      </c>
      <c r="AD479" s="18">
        <f t="shared" si="448"/>
        <v>0.98612053665479726</v>
      </c>
      <c r="AE479" s="18">
        <f t="shared" si="449"/>
        <v>9.55493875844413E-2</v>
      </c>
      <c r="AF479" s="66" t="str">
        <f t="shared" si="450"/>
        <v>-0.106887759263341+0.119092512030583i</v>
      </c>
      <c r="AG479" s="64">
        <f t="shared" si="451"/>
        <v>-15.916240081216586</v>
      </c>
      <c r="AH479" s="61">
        <f t="shared" si="452"/>
        <v>131.90857036549909</v>
      </c>
      <c r="AI479" s="50" t="str">
        <f t="shared" si="432"/>
        <v>107.538871525172</v>
      </c>
      <c r="AJ479" s="50" t="str">
        <f t="shared" si="433"/>
        <v>1+1907.26852459984i</v>
      </c>
      <c r="AK479" s="50">
        <f t="shared" si="453"/>
        <v>1907.2687867548323</v>
      </c>
      <c r="AL479" s="50">
        <f t="shared" si="454"/>
        <v>1.5702720168220383</v>
      </c>
      <c r="AM479" s="50" t="str">
        <f t="shared" si="434"/>
        <v>1+2.30368119834019i</v>
      </c>
      <c r="AN479" s="50">
        <f t="shared" si="455"/>
        <v>2.5113635864976014</v>
      </c>
      <c r="AO479" s="50">
        <f t="shared" si="456"/>
        <v>1.1612534456247947</v>
      </c>
      <c r="AP479" s="50" t="str">
        <f t="shared" si="435"/>
        <v>1-6.62348273381122i</v>
      </c>
      <c r="AQ479" s="50">
        <f t="shared" si="457"/>
        <v>6.6985463740348443</v>
      </c>
      <c r="AR479" s="50">
        <f t="shared" si="458"/>
        <v>-1.4209500634748253</v>
      </c>
      <c r="AS479" s="59" t="str">
        <f t="shared" si="459"/>
        <v>-0.243085722037688-0.916835915152272i</v>
      </c>
      <c r="AT479" s="50">
        <f t="shared" si="460"/>
        <v>-0.45912530685065817</v>
      </c>
      <c r="AU479" s="61">
        <f t="shared" si="461"/>
        <v>-104.84947940802719</v>
      </c>
      <c r="AV479" s="32" t="str">
        <f t="shared" si="436"/>
        <v>-0.0000333333333333333</v>
      </c>
      <c r="AW479" s="32" t="str">
        <f t="shared" si="437"/>
        <v>0.12286299724481i</v>
      </c>
      <c r="AX479" s="32">
        <f t="shared" si="462"/>
        <v>0.12286299724480999</v>
      </c>
      <c r="AY479" s="32">
        <f t="shared" si="463"/>
        <v>1.5707963267948966</v>
      </c>
      <c r="AZ479" s="32" t="str">
        <f t="shared" si="438"/>
        <v>1+50.1263964453652i</v>
      </c>
      <c r="BA479" s="32">
        <f t="shared" si="464"/>
        <v>50.136370237562289</v>
      </c>
      <c r="BB479" s="32">
        <f t="shared" si="465"/>
        <v>1.5508494038000886</v>
      </c>
      <c r="BC479" s="32" t="str">
        <f t="shared" si="439"/>
        <v>1+2406.06702937753i</v>
      </c>
      <c r="BD479" s="32">
        <f t="shared" si="466"/>
        <v>2406.0672371855308</v>
      </c>
      <c r="BE479" s="32">
        <f t="shared" si="467"/>
        <v>1.5703807107999093</v>
      </c>
      <c r="BF479" s="59" t="str">
        <f t="shared" si="468"/>
        <v>-0.000254282343015906+0.0130175624363099i</v>
      </c>
      <c r="BG479" s="50">
        <f t="shared" si="469"/>
        <v>-37.707749795711493</v>
      </c>
      <c r="BH479" s="61">
        <f t="shared" si="470"/>
        <v>91.119061459464035</v>
      </c>
      <c r="BI479" s="59" t="str">
        <f t="shared" si="471"/>
        <v>-0.0015231145411899-0.00142170120288259i</v>
      </c>
      <c r="BJ479" s="64">
        <f t="shared" si="472"/>
        <v>-53.623989876928079</v>
      </c>
      <c r="BK479" s="61">
        <f t="shared" si="473"/>
        <v>-136.97236817503685</v>
      </c>
      <c r="BL479" s="59" t="str">
        <f t="shared" si="425"/>
        <v>0.0119967811762995-0.00293124837933502i</v>
      </c>
      <c r="BM479" s="64">
        <f t="shared" si="474"/>
        <v>-38.166875102562145</v>
      </c>
      <c r="BN479" s="61">
        <f t="shared" si="426"/>
        <v>-13.730417948563124</v>
      </c>
      <c r="BO479" s="50">
        <f t="shared" si="475"/>
        <v>-53.623989876928079</v>
      </c>
      <c r="BP479" s="61">
        <f t="shared" si="476"/>
        <v>-136.97236817503685</v>
      </c>
    </row>
    <row r="480" spans="14:68" x14ac:dyDescent="0.25">
      <c r="N480" s="11">
        <v>62</v>
      </c>
      <c r="O480" s="51">
        <f t="shared" si="424"/>
        <v>416869.38347033598</v>
      </c>
      <c r="P480" s="49" t="str">
        <f t="shared" si="427"/>
        <v>37.1583961085025</v>
      </c>
      <c r="Q480" s="18" t="str">
        <f t="shared" si="428"/>
        <v>1+2053.00791097621i</v>
      </c>
      <c r="R480" s="18">
        <f t="shared" si="440"/>
        <v>2053.0081545212875</v>
      </c>
      <c r="S480" s="18">
        <f t="shared" si="441"/>
        <v>1.5703092366499596</v>
      </c>
      <c r="T480" s="18" t="str">
        <f t="shared" si="429"/>
        <v>1+2.35734082671045i</v>
      </c>
      <c r="U480" s="18">
        <f t="shared" si="442"/>
        <v>2.5606748667638204</v>
      </c>
      <c r="V480" s="18">
        <f t="shared" si="443"/>
        <v>1.169597721777313</v>
      </c>
      <c r="W480" s="32" t="str">
        <f t="shared" si="430"/>
        <v>1-20.6335532430529i</v>
      </c>
      <c r="X480" s="18">
        <f t="shared" si="444"/>
        <v>20.657771405306498</v>
      </c>
      <c r="Y480" s="18">
        <f t="shared" si="445"/>
        <v>-1.5223694685710139</v>
      </c>
      <c r="Z480" s="32" t="str">
        <f t="shared" si="431"/>
        <v>-3.34450207187345+4.96787751999349i</v>
      </c>
      <c r="AA480" s="18">
        <f t="shared" si="446"/>
        <v>5.9887812752197309</v>
      </c>
      <c r="AB480" s="18">
        <f t="shared" si="447"/>
        <v>2.1633259600518455</v>
      </c>
      <c r="AC480" s="32" t="str">
        <f>IMDIV(IMSUM(COMPLEX(0,2*PI()*O480*Constants!$B$61*Constants!$B$62),COMPLEX(1,0)),IMSUM(COMPLEX(0,2*PI()*O480*Constants!$B$61*Constants!$B$62),COMPLEX(2,0)))</f>
        <v>0.982420519223063+0.0920907283285447i</v>
      </c>
      <c r="AD480" s="18">
        <f t="shared" si="448"/>
        <v>0.98672730723062207</v>
      </c>
      <c r="AE480" s="18">
        <f t="shared" si="449"/>
        <v>9.3465484752607034E-2</v>
      </c>
      <c r="AF480" s="66" t="str">
        <f t="shared" si="450"/>
        <v>-0.103950842442378+0.118653032712024i</v>
      </c>
      <c r="AG480" s="64">
        <f t="shared" si="451"/>
        <v>-16.040742256891161</v>
      </c>
      <c r="AH480" s="61">
        <f t="shared" si="452"/>
        <v>131.22130657122145</v>
      </c>
      <c r="AI480" s="50" t="str">
        <f t="shared" si="432"/>
        <v>107.538871525172</v>
      </c>
      <c r="AJ480" s="50" t="str">
        <f t="shared" si="433"/>
        <v>1+1951.69451562067i</v>
      </c>
      <c r="AK480" s="50">
        <f t="shared" si="453"/>
        <v>1951.694771808287</v>
      </c>
      <c r="AL480" s="50">
        <f t="shared" si="454"/>
        <v>1.570283951571988</v>
      </c>
      <c r="AM480" s="50" t="str">
        <f t="shared" si="434"/>
        <v>1+2.35734082671045i</v>
      </c>
      <c r="AN480" s="50">
        <f t="shared" si="455"/>
        <v>2.5606748667638204</v>
      </c>
      <c r="AO480" s="50">
        <f t="shared" si="456"/>
        <v>1.169597721777313</v>
      </c>
      <c r="AP480" s="50" t="str">
        <f t="shared" si="435"/>
        <v>1-6.77776346600161i</v>
      </c>
      <c r="AQ480" s="50">
        <f t="shared" si="457"/>
        <v>6.8511369568171787</v>
      </c>
      <c r="AR480" s="50">
        <f t="shared" si="458"/>
        <v>-1.4243118434943745</v>
      </c>
      <c r="AS480" s="59" t="str">
        <f t="shared" si="459"/>
        <v>-0.243087055578553-0.935589102655795i</v>
      </c>
      <c r="AT480" s="50">
        <f t="shared" si="460"/>
        <v>-0.29458671455282215</v>
      </c>
      <c r="AU480" s="61">
        <f t="shared" si="461"/>
        <v>-104.5646872189695</v>
      </c>
      <c r="AV480" s="32" t="str">
        <f t="shared" si="436"/>
        <v>-0.0000333333333333333</v>
      </c>
      <c r="AW480" s="32" t="str">
        <f t="shared" si="437"/>
        <v>0.125724844091224i</v>
      </c>
      <c r="AX480" s="32">
        <f t="shared" si="462"/>
        <v>0.125724844091224</v>
      </c>
      <c r="AY480" s="32">
        <f t="shared" si="463"/>
        <v>1.5707963267948966</v>
      </c>
      <c r="AZ480" s="32" t="str">
        <f t="shared" si="438"/>
        <v>1+51.2939902108292i</v>
      </c>
      <c r="BA480" s="32">
        <f t="shared" si="464"/>
        <v>51.303737015432333</v>
      </c>
      <c r="BB480" s="32">
        <f t="shared" si="465"/>
        <v>1.5513033348523695</v>
      </c>
      <c r="BC480" s="32" t="str">
        <f t="shared" si="439"/>
        <v>1+2462.11153011981i</v>
      </c>
      <c r="BD480" s="32">
        <f t="shared" si="466"/>
        <v>2462.1117331975233</v>
      </c>
      <c r="BE480" s="32">
        <f t="shared" si="467"/>
        <v>1.5703901713739179</v>
      </c>
      <c r="BF480" s="59" t="str">
        <f t="shared" si="468"/>
        <v>-0.000242842100463777+0.0127214695716839i</v>
      </c>
      <c r="BG480" s="50">
        <f t="shared" si="469"/>
        <v>-37.907672067643752</v>
      </c>
      <c r="BH480" s="61">
        <f t="shared" si="470"/>
        <v>91.09359517694088</v>
      </c>
      <c r="BI480" s="59" t="str">
        <f t="shared" si="471"/>
        <v>-0.00148419730431034-0.0013512214307718i</v>
      </c>
      <c r="BJ480" s="64">
        <f t="shared" si="472"/>
        <v>-53.94841432453493</v>
      </c>
      <c r="BK480" s="61">
        <f t="shared" si="473"/>
        <v>-137.68509825183773</v>
      </c>
      <c r="BL480" s="59" t="str">
        <f t="shared" si="425"/>
        <v>0.011961100072207-0.00286522415795284i</v>
      </c>
      <c r="BM480" s="64">
        <f t="shared" si="474"/>
        <v>-38.202258782196566</v>
      </c>
      <c r="BN480" s="61">
        <f t="shared" si="426"/>
        <v>-13.471092042028593</v>
      </c>
      <c r="BO480" s="50">
        <f t="shared" si="475"/>
        <v>-53.94841432453493</v>
      </c>
      <c r="BP480" s="61">
        <f t="shared" si="476"/>
        <v>-137.68509825183773</v>
      </c>
    </row>
    <row r="481" spans="14:68" x14ac:dyDescent="0.25">
      <c r="N481" s="11">
        <v>63</v>
      </c>
      <c r="O481" s="51">
        <f t="shared" si="424"/>
        <v>426579.51880159322</v>
      </c>
      <c r="P481" s="49" t="str">
        <f t="shared" si="427"/>
        <v>37.1583961085025</v>
      </c>
      <c r="Q481" s="18" t="str">
        <f t="shared" si="428"/>
        <v>1+2100.8286083989i</v>
      </c>
      <c r="R481" s="18">
        <f t="shared" si="440"/>
        <v>2100.8288464002153</v>
      </c>
      <c r="S481" s="18">
        <f t="shared" si="441"/>
        <v>1.570320324173609</v>
      </c>
      <c r="T481" s="18" t="str">
        <f t="shared" si="429"/>
        <v>1+2.41225034839012i</v>
      </c>
      <c r="U481" s="18">
        <f t="shared" si="442"/>
        <v>2.6113122646110818</v>
      </c>
      <c r="V481" s="18">
        <f t="shared" si="443"/>
        <v>1.177809539375942</v>
      </c>
      <c r="W481" s="32" t="str">
        <f t="shared" si="430"/>
        <v>1-21.1141704394678i</v>
      </c>
      <c r="X481" s="18">
        <f t="shared" si="444"/>
        <v>21.137837953463826</v>
      </c>
      <c r="Y481" s="18">
        <f t="shared" si="445"/>
        <v>-1.5234701340914454</v>
      </c>
      <c r="Z481" s="32" t="str">
        <f t="shared" si="431"/>
        <v>-3.54925214652497+5.08359425271843i</v>
      </c>
      <c r="AA481" s="18">
        <f t="shared" si="446"/>
        <v>6.2000097843377606</v>
      </c>
      <c r="AB481" s="18">
        <f t="shared" si="447"/>
        <v>2.1802982241727507</v>
      </c>
      <c r="AC481" s="32" t="str">
        <f>IMDIV(IMSUM(COMPLEX(0,2*PI()*O481*Constants!$B$61*Constants!$B$62),COMPLEX(1,0)),IMSUM(COMPLEX(0,2*PI()*O481*Constants!$B$61*Constants!$B$62),COMPLEX(2,0)))</f>
        <v>0.983185118088421+0.090137121665212i</v>
      </c>
      <c r="AD481" s="18">
        <f t="shared" si="448"/>
        <v>0.98730829892826877</v>
      </c>
      <c r="AE481" s="18">
        <f t="shared" si="449"/>
        <v>9.1423122987256064E-2</v>
      </c>
      <c r="AF481" s="66" t="str">
        <f t="shared" si="450"/>
        <v>-0.101049295870338+0.118152030188152i</v>
      </c>
      <c r="AG481" s="64">
        <f t="shared" si="451"/>
        <v>-16.167078533815019</v>
      </c>
      <c r="AH481" s="61">
        <f t="shared" si="452"/>
        <v>130.53865249216489</v>
      </c>
      <c r="AI481" s="50" t="str">
        <f t="shared" si="432"/>
        <v>107.538871525172</v>
      </c>
      <c r="AJ481" s="50" t="str">
        <f t="shared" si="433"/>
        <v>1+1997.15532090741i</v>
      </c>
      <c r="AK481" s="50">
        <f t="shared" si="453"/>
        <v>1997.1555712634856</v>
      </c>
      <c r="AL481" s="50">
        <f t="shared" si="454"/>
        <v>1.5702956146540028</v>
      </c>
      <c r="AM481" s="50" t="str">
        <f t="shared" si="434"/>
        <v>1+2.41225034839012i</v>
      </c>
      <c r="AN481" s="50">
        <f t="shared" si="455"/>
        <v>2.6113122646110818</v>
      </c>
      <c r="AO481" s="50">
        <f t="shared" si="456"/>
        <v>1.177809539375942</v>
      </c>
      <c r="AP481" s="50" t="str">
        <f t="shared" si="435"/>
        <v>1-6.93563785809596i</v>
      </c>
      <c r="AQ481" s="50">
        <f t="shared" si="457"/>
        <v>7.0073584537009319</v>
      </c>
      <c r="AR481" s="50">
        <f t="shared" si="458"/>
        <v>-1.4276003256592864</v>
      </c>
      <c r="AS481" s="59" t="str">
        <f t="shared" si="459"/>
        <v>-0.243088329100222-0.954838351824009i</v>
      </c>
      <c r="AT481" s="50">
        <f t="shared" si="460"/>
        <v>-0.12866557825857283</v>
      </c>
      <c r="AU481" s="61">
        <f t="shared" si="461"/>
        <v>-104.28326912286579</v>
      </c>
      <c r="AV481" s="32" t="str">
        <f t="shared" si="436"/>
        <v>-0.0000333333333333333</v>
      </c>
      <c r="AW481" s="32" t="str">
        <f t="shared" si="437"/>
        <v>0.12865335191414i</v>
      </c>
      <c r="AX481" s="32">
        <f t="shared" si="462"/>
        <v>0.12865335191414001</v>
      </c>
      <c r="AY481" s="32">
        <f t="shared" si="463"/>
        <v>1.5707963267948966</v>
      </c>
      <c r="AZ481" s="32" t="str">
        <f t="shared" si="438"/>
        <v>1+52.4887807288591i</v>
      </c>
      <c r="BA481" s="32">
        <f t="shared" si="464"/>
        <v>52.498305709825054</v>
      </c>
      <c r="BB481" s="32">
        <f t="shared" si="465"/>
        <v>1.5517469409358846</v>
      </c>
      <c r="BC481" s="32" t="str">
        <f t="shared" si="439"/>
        <v>1+2519.46147498524i</v>
      </c>
      <c r="BD481" s="32">
        <f t="shared" si="466"/>
        <v>2519.4616734403403</v>
      </c>
      <c r="BE481" s="32">
        <f t="shared" si="467"/>
        <v>1.5703994165990409</v>
      </c>
      <c r="BF481" s="59" t="str">
        <f t="shared" si="468"/>
        <v>-0.00023191637119494+0.0124321017243177i</v>
      </c>
      <c r="BG481" s="50">
        <f t="shared" si="469"/>
        <v>-38.107597836615533</v>
      </c>
      <c r="BH481" s="61">
        <f t="shared" si="470"/>
        <v>91.068708132969334</v>
      </c>
      <c r="BI481" s="59" t="str">
        <f t="shared" si="471"/>
        <v>-0.00144544307222371-0.00128365651552127i</v>
      </c>
      <c r="BJ481" s="64">
        <f t="shared" si="472"/>
        <v>-54.274676370430555</v>
      </c>
      <c r="BK481" s="61">
        <f t="shared" si="473"/>
        <v>-138.39263937486578</v>
      </c>
      <c r="BL481" s="59" t="str">
        <f t="shared" si="425"/>
        <v>0.0119270236833207-0.0028006561897356i</v>
      </c>
      <c r="BM481" s="64">
        <f t="shared" si="474"/>
        <v>-38.236263414874109</v>
      </c>
      <c r="BN481" s="61">
        <f t="shared" si="426"/>
        <v>-13.214560989896473</v>
      </c>
      <c r="BO481" s="50">
        <f t="shared" si="475"/>
        <v>-54.274676370430555</v>
      </c>
      <c r="BP481" s="61">
        <f t="shared" si="476"/>
        <v>-138.39263937486578</v>
      </c>
    </row>
    <row r="482" spans="14:68" x14ac:dyDescent="0.25">
      <c r="N482" s="11">
        <v>64</v>
      </c>
      <c r="O482" s="51">
        <f t="shared" si="424"/>
        <v>436515.83224016649</v>
      </c>
      <c r="P482" s="49" t="str">
        <f t="shared" si="427"/>
        <v>37.1583961085025</v>
      </c>
      <c r="Q482" s="18" t="str">
        <f t="shared" si="428"/>
        <v>1+2149.76319295752i</v>
      </c>
      <c r="R482" s="18">
        <f t="shared" si="440"/>
        <v>2149.7634255412645</v>
      </c>
      <c r="S482" s="18">
        <f t="shared" si="441"/>
        <v>1.5703311593145206</v>
      </c>
      <c r="T482" s="18" t="str">
        <f t="shared" si="429"/>
        <v>1+2.46843887713441i</v>
      </c>
      <c r="U482" s="18">
        <f t="shared" si="442"/>
        <v>2.6633044306178344</v>
      </c>
      <c r="V482" s="18">
        <f t="shared" si="443"/>
        <v>1.1858888213422358</v>
      </c>
      <c r="W482" s="32" t="str">
        <f t="shared" si="430"/>
        <v>1-21.6059826485289i</v>
      </c>
      <c r="X482" s="18">
        <f t="shared" si="444"/>
        <v>21.629112006934818</v>
      </c>
      <c r="Y482" s="18">
        <f t="shared" si="445"/>
        <v>-1.524545856302032</v>
      </c>
      <c r="Z482" s="32" t="str">
        <f t="shared" si="431"/>
        <v>-3.76365179490811+5.20200637440548i</v>
      </c>
      <c r="AA482" s="18">
        <f t="shared" si="446"/>
        <v>6.4207433489176529</v>
      </c>
      <c r="AB482" s="18">
        <f t="shared" si="447"/>
        <v>2.1971206375280801</v>
      </c>
      <c r="AC482" s="32" t="str">
        <f>IMDIV(IMSUM(COMPLEX(0,2*PI()*O482*Constants!$B$61*Constants!$B$62),COMPLEX(1,0)),IMSUM(COMPLEX(0,2*PI()*O482*Constants!$B$61*Constants!$B$62),COMPLEX(2,0)))</f>
        <v>0.983917570255648+0.0882188773772032i</v>
      </c>
      <c r="AD482" s="18">
        <f t="shared" si="448"/>
        <v>0.9878645430338473</v>
      </c>
      <c r="AE482" s="18">
        <f t="shared" si="449"/>
        <v>8.942173068787633E-2</v>
      </c>
      <c r="AF482" s="66" t="str">
        <f t="shared" si="450"/>
        <v>-0.0981848902040556+0.1175912833251i</v>
      </c>
      <c r="AG482" s="64">
        <f t="shared" si="451"/>
        <v>-16.295242428562553</v>
      </c>
      <c r="AH482" s="61">
        <f t="shared" si="452"/>
        <v>129.8607814815006</v>
      </c>
      <c r="AI482" s="50" t="str">
        <f t="shared" si="432"/>
        <v>107.538871525172</v>
      </c>
      <c r="AJ482" s="50" t="str">
        <f t="shared" si="433"/>
        <v>1+2043.67504438077i</v>
      </c>
      <c r="AK482" s="50">
        <f t="shared" si="453"/>
        <v>2043.6752890380462</v>
      </c>
      <c r="AL482" s="50">
        <f t="shared" si="454"/>
        <v>1.5703070122519902</v>
      </c>
      <c r="AM482" s="50" t="str">
        <f t="shared" si="434"/>
        <v>1+2.46843887713441i</v>
      </c>
      <c r="AN482" s="50">
        <f t="shared" si="455"/>
        <v>2.6633044306178344</v>
      </c>
      <c r="AO482" s="50">
        <f t="shared" si="456"/>
        <v>1.1858888213422358</v>
      </c>
      <c r="AP482" s="50" t="str">
        <f t="shared" si="435"/>
        <v>1-7.09718961718668i</v>
      </c>
      <c r="AQ482" s="50">
        <f t="shared" si="457"/>
        <v>7.1672938032637123</v>
      </c>
      <c r="AR482" s="50">
        <f t="shared" si="458"/>
        <v>-1.4308169689220926</v>
      </c>
      <c r="AS482" s="59" t="str">
        <f t="shared" si="459"/>
        <v>-0.243089545304002-0.97459386886772i</v>
      </c>
      <c r="AT482" s="50">
        <f t="shared" si="460"/>
        <v>3.8592004144880475E-2</v>
      </c>
      <c r="AU482" s="61">
        <f t="shared" si="461"/>
        <v>-104.00531348212024</v>
      </c>
      <c r="AV482" s="32" t="str">
        <f t="shared" si="436"/>
        <v>-0.0000333333333333333</v>
      </c>
      <c r="AW482" s="32" t="str">
        <f t="shared" si="437"/>
        <v>0.131650073447169i</v>
      </c>
      <c r="AX482" s="32">
        <f t="shared" si="462"/>
        <v>0.131650073447169</v>
      </c>
      <c r="AY482" s="32">
        <f t="shared" si="463"/>
        <v>1.5707963267948966</v>
      </c>
      <c r="AZ482" s="32" t="str">
        <f t="shared" si="438"/>
        <v>1+53.7114014932025i</v>
      </c>
      <c r="BA482" s="32">
        <f t="shared" si="464"/>
        <v>53.720709697136321</v>
      </c>
      <c r="BB482" s="32">
        <f t="shared" si="465"/>
        <v>1.5521804565576858</v>
      </c>
      <c r="BC482" s="32" t="str">
        <f t="shared" si="439"/>
        <v>1+2578.14727167373i</v>
      </c>
      <c r="BD482" s="32">
        <f t="shared" si="466"/>
        <v>2578.1474656114415</v>
      </c>
      <c r="BE482" s="32">
        <f t="shared" si="467"/>
        <v>1.5704084513772127</v>
      </c>
      <c r="BF482" s="59" t="str">
        <f t="shared" si="468"/>
        <v>-0.000221482031930543+0.0121493068064596i</v>
      </c>
      <c r="BG482" s="50">
        <f t="shared" si="469"/>
        <v>-38.307526945348421</v>
      </c>
      <c r="BH482" s="61">
        <f t="shared" si="470"/>
        <v>91.044387172145207</v>
      </c>
      <c r="BI482" s="59" t="str">
        <f t="shared" si="471"/>
        <v>-0.00140690638989469-0.00121892271121578i</v>
      </c>
      <c r="BJ482" s="64">
        <f t="shared" si="472"/>
        <v>-54.602769373910967</v>
      </c>
      <c r="BK482" s="61">
        <f t="shared" si="473"/>
        <v>-139.09483134635437</v>
      </c>
      <c r="BL482" s="59" t="str">
        <f t="shared" si="425"/>
        <v>0.0118944798910034-0.00273751443695721i</v>
      </c>
      <c r="BM482" s="64">
        <f t="shared" si="474"/>
        <v>-38.268934941203533</v>
      </c>
      <c r="BN482" s="61">
        <f t="shared" si="426"/>
        <v>-12.960926309975024</v>
      </c>
      <c r="BO482" s="50">
        <f t="shared" si="475"/>
        <v>-54.602769373910967</v>
      </c>
      <c r="BP482" s="61">
        <f t="shared" si="476"/>
        <v>-139.09483134635437</v>
      </c>
    </row>
    <row r="483" spans="14:68" x14ac:dyDescent="0.25">
      <c r="N483" s="11">
        <v>65</v>
      </c>
      <c r="O483" s="51">
        <f t="shared" si="424"/>
        <v>446683.59215096442</v>
      </c>
      <c r="P483" s="49" t="str">
        <f t="shared" si="427"/>
        <v>37.1583961085025</v>
      </c>
      <c r="Q483" s="18" t="str">
        <f t="shared" si="428"/>
        <v>1+2199.83761041654i</v>
      </c>
      <c r="R483" s="18">
        <f t="shared" si="440"/>
        <v>2199.8378377060326</v>
      </c>
      <c r="S483" s="18">
        <f t="shared" si="441"/>
        <v>1.5703417478176194</v>
      </c>
      <c r="T483" s="18" t="str">
        <f t="shared" si="429"/>
        <v>1+2.52593620484503i</v>
      </c>
      <c r="U483" s="18">
        <f t="shared" si="442"/>
        <v>2.7166806420606222</v>
      </c>
      <c r="V483" s="18">
        <f t="shared" si="443"/>
        <v>1.1938356313844396</v>
      </c>
      <c r="W483" s="32" t="str">
        <f t="shared" si="430"/>
        <v>1-22.1092506355792i</v>
      </c>
      <c r="X483" s="18">
        <f t="shared" si="444"/>
        <v>22.131854049465883</v>
      </c>
      <c r="Y483" s="18">
        <f t="shared" si="445"/>
        <v>-1.5255971956008463</v>
      </c>
      <c r="Z483" s="32" t="str">
        <f t="shared" si="431"/>
        <v>-3.98815578742222+5.32317666872896i</v>
      </c>
      <c r="AA483" s="18">
        <f t="shared" si="446"/>
        <v>6.6514356669255781</v>
      </c>
      <c r="AB483" s="18">
        <f t="shared" si="447"/>
        <v>2.2137890684303869</v>
      </c>
      <c r="AC483" s="32" t="str">
        <f>IMDIV(IMSUM(COMPLEX(0,2*PI()*O483*Constants!$B$61*Constants!$B$62),COMPLEX(1,0)),IMSUM(COMPLEX(0,2*PI()*O483*Constants!$B$61*Constants!$B$62),COMPLEX(2,0)))</f>
        <v>0.984619132606331+0.0863357551368673i</v>
      </c>
      <c r="AD483" s="18">
        <f t="shared" si="448"/>
        <v>0.98839703505701437</v>
      </c>
      <c r="AE483" s="18">
        <f t="shared" si="449"/>
        <v>8.7460726333451047E-2</v>
      </c>
      <c r="AF483" s="66" t="str">
        <f t="shared" si="450"/>
        <v>-0.0953593221284581+0.116972640515339i</v>
      </c>
      <c r="AG483" s="64">
        <f t="shared" si="451"/>
        <v>-16.425225659601924</v>
      </c>
      <c r="AH483" s="61">
        <f t="shared" si="452"/>
        <v>129.18786816139075</v>
      </c>
      <c r="AI483" s="50" t="str">
        <f t="shared" si="432"/>
        <v>107.538871525172</v>
      </c>
      <c r="AJ483" s="50" t="str">
        <f t="shared" si="433"/>
        <v>1+2091.27835141391i</v>
      </c>
      <c r="AK483" s="50">
        <f t="shared" si="453"/>
        <v>2091.2785905021074</v>
      </c>
      <c r="AL483" s="50">
        <f t="shared" si="454"/>
        <v>1.5703181504090959</v>
      </c>
      <c r="AM483" s="50" t="str">
        <f t="shared" si="434"/>
        <v>1+2.52593620484503i</v>
      </c>
      <c r="AN483" s="50">
        <f t="shared" si="455"/>
        <v>2.7166806420606222</v>
      </c>
      <c r="AO483" s="50">
        <f t="shared" si="456"/>
        <v>1.1938356313844396</v>
      </c>
      <c r="AP483" s="50" t="str">
        <f t="shared" si="435"/>
        <v>1-7.26250440015488i</v>
      </c>
      <c r="AQ483" s="50">
        <f t="shared" si="457"/>
        <v>7.3310279062535963</v>
      </c>
      <c r="AR483" s="50">
        <f t="shared" si="458"/>
        <v>-1.4339632123948933</v>
      </c>
      <c r="AS483" s="59" t="str">
        <f t="shared" si="459"/>
        <v>-0.243090706769621-0.994866128427408i</v>
      </c>
      <c r="AT483" s="50">
        <f t="shared" si="460"/>
        <v>0.20714088611322759</v>
      </c>
      <c r="AU483" s="61">
        <f t="shared" si="461"/>
        <v>-103.73089944781556</v>
      </c>
      <c r="AV483" s="32" t="str">
        <f t="shared" si="436"/>
        <v>-0.0000333333333333333</v>
      </c>
      <c r="AW483" s="32" t="str">
        <f t="shared" si="437"/>
        <v>0.134716597591735i</v>
      </c>
      <c r="AX483" s="32">
        <f t="shared" si="462"/>
        <v>0.13471659759173499</v>
      </c>
      <c r="AY483" s="32">
        <f t="shared" si="463"/>
        <v>1.5707963267948966</v>
      </c>
      <c r="AZ483" s="32" t="str">
        <f t="shared" si="438"/>
        <v>1+54.9625007535724i</v>
      </c>
      <c r="BA483" s="32">
        <f t="shared" si="464"/>
        <v>54.971597112385652</v>
      </c>
      <c r="BB483" s="32">
        <f t="shared" si="465"/>
        <v>1.5526041109213358</v>
      </c>
      <c r="BC483" s="32" t="str">
        <f t="shared" si="439"/>
        <v>1+2638.20003617148i</v>
      </c>
      <c r="BD483" s="32">
        <f t="shared" si="466"/>
        <v>2638.2002256946303</v>
      </c>
      <c r="BE483" s="32">
        <f t="shared" si="467"/>
        <v>1.5704172804987866</v>
      </c>
      <c r="BF483" s="59" t="str">
        <f t="shared" si="468"/>
        <v>-0.000211516997153637+0.0118729361261498i</v>
      </c>
      <c r="BG483" s="50">
        <f t="shared" si="469"/>
        <v>-38.507459243632823</v>
      </c>
      <c r="BH483" s="61">
        <f t="shared" si="470"/>
        <v>91.020619436538766</v>
      </c>
      <c r="BI483" s="59" t="str">
        <f t="shared" si="471"/>
        <v>-0.00136863857187848-0.00115693684233506i</v>
      </c>
      <c r="BJ483" s="64">
        <f t="shared" si="472"/>
        <v>-54.932684903234772</v>
      </c>
      <c r="BK483" s="61">
        <f t="shared" si="473"/>
        <v>-139.79151240207042</v>
      </c>
      <c r="BL483" s="59" t="str">
        <f t="shared" si="425"/>
        <v>0.0118633998132204-0.00267576933828149i</v>
      </c>
      <c r="BM483" s="64">
        <f t="shared" si="474"/>
        <v>-38.300318357519608</v>
      </c>
      <c r="BN483" s="61">
        <f t="shared" si="426"/>
        <v>-12.710280011276819</v>
      </c>
      <c r="BO483" s="50">
        <f t="shared" si="475"/>
        <v>-54.932684903234772</v>
      </c>
      <c r="BP483" s="61">
        <f t="shared" si="476"/>
        <v>-139.79151240207042</v>
      </c>
    </row>
    <row r="484" spans="14:68" x14ac:dyDescent="0.25">
      <c r="N484" s="11">
        <v>66</v>
      </c>
      <c r="O484" s="51">
        <f t="shared" ref="O484:O518" si="477">10^(5+(N484/100))</f>
        <v>457088.18961487547</v>
      </c>
      <c r="P484" s="49" t="str">
        <f t="shared" si="427"/>
        <v>37.1583961085025</v>
      </c>
      <c r="Q484" s="18" t="str">
        <f t="shared" si="428"/>
        <v>1+2251.07841089488i</v>
      </c>
      <c r="R484" s="18">
        <f t="shared" si="440"/>
        <v>2251.0786330106325</v>
      </c>
      <c r="S484" s="18">
        <f t="shared" si="441"/>
        <v>1.57035209529706</v>
      </c>
      <c r="T484" s="18" t="str">
        <f t="shared" si="429"/>
        <v>1+2.58477281736615i</v>
      </c>
      <c r="U484" s="18">
        <f t="shared" si="442"/>
        <v>2.771470822035647</v>
      </c>
      <c r="V484" s="18">
        <f t="shared" si="443"/>
        <v>1.2016501671261159</v>
      </c>
      <c r="W484" s="32" t="str">
        <f t="shared" si="430"/>
        <v>1-22.624241239967i</v>
      </c>
      <c r="X484" s="18">
        <f t="shared" si="444"/>
        <v>22.646330645034386</v>
      </c>
      <c r="Y484" s="18">
        <f t="shared" si="445"/>
        <v>-1.5266247001201281</v>
      </c>
      <c r="Z484" s="32" t="str">
        <f t="shared" si="431"/>
        <v>-4.22324032713509+5.44716938178273i</v>
      </c>
      <c r="AA484" s="18">
        <f t="shared" si="446"/>
        <v>6.892562160370507</v>
      </c>
      <c r="AB484" s="18">
        <f t="shared" si="447"/>
        <v>2.2302995168419675</v>
      </c>
      <c r="AC484" s="32" t="str">
        <f>IMDIV(IMSUM(COMPLEX(0,2*PI()*O484*Constants!$B$61*Constants!$B$62),COMPLEX(1,0)),IMSUM(COMPLEX(0,2*PI()*O484*Constants!$B$61*Constants!$B$62),COMPLEX(2,0)))</f>
        <v>0.985291021000843+0.0844874868627358i</v>
      </c>
      <c r="AD484" s="18">
        <f t="shared" si="448"/>
        <v>0.98890673549190899</v>
      </c>
      <c r="AE484" s="18">
        <f t="shared" si="449"/>
        <v>8.5539520029963206E-2</v>
      </c>
      <c r="AF484" s="66" t="str">
        <f t="shared" si="450"/>
        <v>-0.0925742086975487+0.11629801580703i</v>
      </c>
      <c r="AG484" s="64">
        <f t="shared" si="451"/>
        <v>-16.557018153689938</v>
      </c>
      <c r="AH484" s="61">
        <f t="shared" si="452"/>
        <v>128.52008751434101</v>
      </c>
      <c r="AI484" s="50" t="str">
        <f t="shared" si="432"/>
        <v>107.538871525172</v>
      </c>
      <c r="AJ484" s="50" t="str">
        <f t="shared" si="433"/>
        <v>1+2139.99048191029i</v>
      </c>
      <c r="AK484" s="50">
        <f t="shared" si="453"/>
        <v>2139.9907155561764</v>
      </c>
      <c r="AL484" s="50">
        <f t="shared" si="454"/>
        <v>1.5703290350309069</v>
      </c>
      <c r="AM484" s="50" t="str">
        <f t="shared" si="434"/>
        <v>1+2.58477281736615i</v>
      </c>
      <c r="AN484" s="50">
        <f t="shared" si="455"/>
        <v>2.771470822035647</v>
      </c>
      <c r="AO484" s="50">
        <f t="shared" si="456"/>
        <v>1.2016501671261159</v>
      </c>
      <c r="AP484" s="50" t="str">
        <f t="shared" si="435"/>
        <v>1-7.43166985908661i</v>
      </c>
      <c r="AQ484" s="50">
        <f t="shared" si="457"/>
        <v>7.4986476710441856</v>
      </c>
      <c r="AR484" s="50">
        <f t="shared" si="458"/>
        <v>-1.4370404749733374</v>
      </c>
      <c r="AS484" s="59" t="str">
        <f t="shared" si="459"/>
        <v>-0.2430918159607-1.01566587912698i</v>
      </c>
      <c r="AT484" s="50">
        <f t="shared" si="460"/>
        <v>0.37693689723422807</v>
      </c>
      <c r="AU484" s="61">
        <f t="shared" si="461"/>
        <v>-103.46009733205317</v>
      </c>
      <c r="AV484" s="32" t="str">
        <f t="shared" si="436"/>
        <v>-0.0000333333333333333</v>
      </c>
      <c r="AW484" s="32" t="str">
        <f t="shared" si="437"/>
        <v>0.137854550259528i</v>
      </c>
      <c r="AX484" s="32">
        <f t="shared" si="462"/>
        <v>0.137854550259528</v>
      </c>
      <c r="AY484" s="32">
        <f t="shared" si="463"/>
        <v>1.5707963267948966</v>
      </c>
      <c r="AZ484" s="32" t="str">
        <f t="shared" si="438"/>
        <v>1+56.2427418593561i</v>
      </c>
      <c r="BA484" s="32">
        <f t="shared" si="464"/>
        <v>56.251631192865567</v>
      </c>
      <c r="BB484" s="32">
        <f t="shared" si="465"/>
        <v>1.5530181280453264</v>
      </c>
      <c r="BC484" s="32" t="str">
        <f t="shared" si="439"/>
        <v>1+2699.6516092491i</v>
      </c>
      <c r="BD484" s="32">
        <f t="shared" si="466"/>
        <v>2699.6517944581769</v>
      </c>
      <c r="BE484" s="32">
        <f t="shared" si="467"/>
        <v>1.570425908645074</v>
      </c>
      <c r="BF484" s="59" t="str">
        <f t="shared" si="468"/>
        <v>-0.00020200017266211+0.0116028443143293i</v>
      </c>
      <c r="BG484" s="50">
        <f t="shared" si="469"/>
        <v>-38.707394588010153</v>
      </c>
      <c r="BH484" s="61">
        <f t="shared" si="470"/>
        <v>90.997392359055254</v>
      </c>
      <c r="BI484" s="59" t="str">
        <f t="shared" si="471"/>
        <v>-0.00133068776533341-0.00109761635031317i</v>
      </c>
      <c r="BJ484" s="64">
        <f t="shared" si="472"/>
        <v>-55.264412741700106</v>
      </c>
      <c r="BK484" s="61">
        <f t="shared" si="473"/>
        <v>-140.48252012660359</v>
      </c>
      <c r="BL484" s="59" t="str">
        <f t="shared" si="425"/>
        <v>0.0118337176596836-0.00261539181172893i</v>
      </c>
      <c r="BM484" s="64">
        <f t="shared" si="474"/>
        <v>-38.330457690775894</v>
      </c>
      <c r="BN484" s="61">
        <f t="shared" si="426"/>
        <v>-12.462704972997871</v>
      </c>
      <c r="BO484" s="50">
        <f t="shared" si="475"/>
        <v>-55.264412741700106</v>
      </c>
      <c r="BP484" s="61">
        <f t="shared" si="476"/>
        <v>-140.48252012660359</v>
      </c>
    </row>
    <row r="485" spans="14:68" x14ac:dyDescent="0.25">
      <c r="N485" s="11">
        <v>67</v>
      </c>
      <c r="O485" s="51">
        <f t="shared" si="477"/>
        <v>467735.14128719864</v>
      </c>
      <c r="P485" s="49" t="str">
        <f t="shared" si="427"/>
        <v>37.1583961085025</v>
      </c>
      <c r="Q485" s="18" t="str">
        <f t="shared" si="428"/>
        <v>1+2303.51276294322i</v>
      </c>
      <c r="R485" s="18">
        <f t="shared" si="440"/>
        <v>2303.5129800030018</v>
      </c>
      <c r="S485" s="18">
        <f t="shared" si="441"/>
        <v>1.5703622072392045</v>
      </c>
      <c r="T485" s="18" t="str">
        <f t="shared" si="429"/>
        <v>1+2.64497991064856i</v>
      </c>
      <c r="U485" s="18">
        <f t="shared" si="442"/>
        <v>2.8277055588824065</v>
      </c>
      <c r="V485" s="18">
        <f t="shared" si="443"/>
        <v>1.2093327532305649</v>
      </c>
      <c r="W485" s="32" t="str">
        <f t="shared" si="430"/>
        <v>1-23.1512275165274i</v>
      </c>
      <c r="X485" s="18">
        <f t="shared" si="444"/>
        <v>23.172814579200676</v>
      </c>
      <c r="Y485" s="18">
        <f t="shared" si="445"/>
        <v>-1.5276289059730033</v>
      </c>
      <c r="Z485" s="32" t="str">
        <f t="shared" si="431"/>
        <v>-4.46940405987386+5.57405025614455i</v>
      </c>
      <c r="AA485" s="18">
        <f t="shared" si="446"/>
        <v>7.1446209772416944</v>
      </c>
      <c r="AB485" s="18">
        <f t="shared" si="447"/>
        <v>2.2466481241608225</v>
      </c>
      <c r="AC485" s="32" t="str">
        <f>IMDIV(IMSUM(COMPLEX(0,2*PI()*O485*Constants!$B$61*Constants!$B$62),COMPLEX(1,0)),IMSUM(COMPLEX(0,2*PI()*O485*Constants!$B$61*Constants!$B$62),COMPLEX(2,0)))</f>
        <v>0.985934410899175+0.0826737791180459i</v>
      </c>
      <c r="AD485" s="18">
        <f t="shared" si="448"/>
        <v>0.98939457060808789</v>
      </c>
      <c r="AE485" s="18">
        <f t="shared" si="449"/>
        <v>8.3657514955473675E-2</v>
      </c>
      <c r="AF485" s="66" t="str">
        <f t="shared" si="450"/>
        <v>-0.0898310820500328+0.115569384430837i</v>
      </c>
      <c r="AG485" s="64">
        <f t="shared" si="451"/>
        <v>-16.690608063830421</v>
      </c>
      <c r="AH485" s="61">
        <f t="shared" si="452"/>
        <v>127.85761399705508</v>
      </c>
      <c r="AI485" s="50" t="str">
        <f t="shared" si="432"/>
        <v>107.538871525172</v>
      </c>
      <c r="AJ485" s="50" t="str">
        <f t="shared" si="433"/>
        <v>1+2189.83726368632i</v>
      </c>
      <c r="AK485" s="50">
        <f t="shared" si="453"/>
        <v>2189.8374920137776</v>
      </c>
      <c r="AL485" s="50">
        <f t="shared" si="454"/>
        <v>1.5703396718885838</v>
      </c>
      <c r="AM485" s="50" t="str">
        <f t="shared" si="434"/>
        <v>1+2.64497991064856i</v>
      </c>
      <c r="AN485" s="50">
        <f t="shared" si="455"/>
        <v>2.8277055588824065</v>
      </c>
      <c r="AO485" s="50">
        <f t="shared" si="456"/>
        <v>1.2093327532305649</v>
      </c>
      <c r="AP485" s="50" t="str">
        <f t="shared" si="435"/>
        <v>1-7.60477568774742i</v>
      </c>
      <c r="AQ485" s="50">
        <f t="shared" si="457"/>
        <v>7.6702420601278449</v>
      </c>
      <c r="AR485" s="50">
        <f t="shared" si="458"/>
        <v>-1.440050155017685</v>
      </c>
      <c r="AS485" s="59" t="str">
        <f t="shared" si="459"/>
        <v>-0.243092875229977-1.03700414927292i</v>
      </c>
      <c r="AT485" s="50">
        <f t="shared" si="460"/>
        <v>0.54793686401336705</v>
      </c>
      <c r="AU485" s="61">
        <f t="shared" si="461"/>
        <v>-103.19296898380048</v>
      </c>
      <c r="AV485" s="32" t="str">
        <f t="shared" si="436"/>
        <v>-0.0000333333333333333</v>
      </c>
      <c r="AW485" s="32" t="str">
        <f t="shared" si="437"/>
        <v>0.14106559523459i</v>
      </c>
      <c r="AX485" s="32">
        <f t="shared" si="462"/>
        <v>0.14106559523459</v>
      </c>
      <c r="AY485" s="32">
        <f t="shared" si="463"/>
        <v>1.5707963267948966</v>
      </c>
      <c r="AZ485" s="32" t="str">
        <f t="shared" si="438"/>
        <v>1+57.5528036113345i</v>
      </c>
      <c r="BA485" s="32">
        <f t="shared" si="464"/>
        <v>57.561490629802471</v>
      </c>
      <c r="BB485" s="32">
        <f t="shared" si="465"/>
        <v>1.5534227268789571</v>
      </c>
      <c r="BC485" s="32" t="str">
        <f t="shared" si="439"/>
        <v>1+2762.53457334406i</v>
      </c>
      <c r="BD485" s="32">
        <f t="shared" si="466"/>
        <v>2762.5347543372641</v>
      </c>
      <c r="BE485" s="32">
        <f t="shared" si="467"/>
        <v>1.5704343403908274</v>
      </c>
      <c r="BF485" s="59" t="str">
        <f t="shared" si="468"/>
        <v>-0.000192911411189207+0.0113388892533129i</v>
      </c>
      <c r="BG485" s="50">
        <f t="shared" si="469"/>
        <v>-38.907332841470648</v>
      </c>
      <c r="BH485" s="61">
        <f t="shared" si="470"/>
        <v>90.974693656937873</v>
      </c>
      <c r="BI485" s="59" t="str">
        <f t="shared" si="471"/>
        <v>-0.00129309901032788-0.00104087934391141i</v>
      </c>
      <c r="BJ485" s="64">
        <f t="shared" si="472"/>
        <v>-55.597940905301051</v>
      </c>
      <c r="BK485" s="61">
        <f t="shared" si="473"/>
        <v>-141.16769234600696</v>
      </c>
      <c r="BL485" s="59" t="str">
        <f t="shared" si="425"/>
        <v>0.0118053705934423-0.00255635325665682i</v>
      </c>
      <c r="BM485" s="64">
        <f t="shared" si="474"/>
        <v>-38.359395977457247</v>
      </c>
      <c r="BN485" s="61">
        <f t="shared" si="426"/>
        <v>-12.21827532686256</v>
      </c>
      <c r="BO485" s="50">
        <f t="shared" si="475"/>
        <v>-55.597940905301051</v>
      </c>
      <c r="BP485" s="61">
        <f t="shared" si="476"/>
        <v>-141.16769234600696</v>
      </c>
    </row>
    <row r="486" spans="14:68" x14ac:dyDescent="0.25">
      <c r="N486" s="11">
        <v>68</v>
      </c>
      <c r="O486" s="51">
        <f t="shared" si="477"/>
        <v>478630.09232263872</v>
      </c>
      <c r="P486" s="49" t="str">
        <f t="shared" si="427"/>
        <v>37.1583961085025</v>
      </c>
      <c r="Q486" s="18" t="str">
        <f t="shared" si="428"/>
        <v>1+2357.16846794908i</v>
      </c>
      <c r="R486" s="18">
        <f t="shared" si="440"/>
        <v>2357.1686800679777</v>
      </c>
      <c r="S486" s="18">
        <f t="shared" si="441"/>
        <v>1.5703720890055299</v>
      </c>
      <c r="T486" s="18" t="str">
        <f t="shared" si="429"/>
        <v>1+2.70658940729005i</v>
      </c>
      <c r="U486" s="18">
        <f t="shared" si="442"/>
        <v>2.8854161259088267</v>
      </c>
      <c r="V486" s="18">
        <f t="shared" si="443"/>
        <v>1.2168838345530493</v>
      </c>
      <c r="W486" s="32" t="str">
        <f t="shared" si="430"/>
        <v>1-23.6904888803599i</v>
      </c>
      <c r="X486" s="18">
        <f t="shared" si="444"/>
        <v>23.711585003758309</v>
      </c>
      <c r="Y486" s="18">
        <f t="shared" si="445"/>
        <v>-1.5286103374967284</v>
      </c>
      <c r="Z486" s="32" t="str">
        <f t="shared" si="431"/>
        <v>-4.72716913191942+5.70388656573347i</v>
      </c>
      <c r="AA486" s="18">
        <f t="shared" si="446"/>
        <v>7.4081340401295757</v>
      </c>
      <c r="AB486" s="18">
        <f t="shared" si="447"/>
        <v>2.2628311824367895</v>
      </c>
      <c r="AC486" s="32" t="str">
        <f>IMDIV(IMSUM(COMPLEX(0,2*PI()*O486*Constants!$B$61*Constants!$B$62),COMPLEX(1,0)),IMSUM(COMPLEX(0,2*PI()*O486*Constants!$B$61*Constants!$B$62),COMPLEX(2,0)))</f>
        <v>0.986550438044509+0.080894315380939i</v>
      </c>
      <c r="AD486" s="18">
        <f t="shared" si="448"/>
        <v>0.98986143326566856</v>
      </c>
      <c r="AE486" s="18">
        <f t="shared" si="449"/>
        <v>8.1814108707564323E-2</v>
      </c>
      <c r="AF486" s="66" t="str">
        <f t="shared" si="450"/>
        <v>-0.0871313845649536+0.114788777780043i</v>
      </c>
      <c r="AG486" s="64">
        <f t="shared" si="451"/>
        <v>-16.825981798147286</v>
      </c>
      <c r="AH486" s="61">
        <f t="shared" si="452"/>
        <v>127.20062068313774</v>
      </c>
      <c r="AI486" s="50" t="str">
        <f t="shared" si="432"/>
        <v>107.538871525172</v>
      </c>
      <c r="AJ486" s="50" t="str">
        <f t="shared" si="433"/>
        <v>1+2240.84512616547i</v>
      </c>
      <c r="AK486" s="50">
        <f t="shared" si="453"/>
        <v>2240.84534929556</v>
      </c>
      <c r="AL486" s="50">
        <f t="shared" si="454"/>
        <v>1.5703500666219197</v>
      </c>
      <c r="AM486" s="50" t="str">
        <f t="shared" si="434"/>
        <v>1+2.70658940729005i</v>
      </c>
      <c r="AN486" s="50">
        <f t="shared" si="455"/>
        <v>2.8854161259088267</v>
      </c>
      <c r="AO486" s="50">
        <f t="shared" si="456"/>
        <v>1.2168838345530493</v>
      </c>
      <c r="AP486" s="50" t="str">
        <f t="shared" si="435"/>
        <v>1-7.78191366913899i</v>
      </c>
      <c r="AQ486" s="50">
        <f t="shared" si="457"/>
        <v>7.8459021376723959</v>
      </c>
      <c r="AR486" s="50">
        <f t="shared" si="458"/>
        <v>-1.4429936300870787</v>
      </c>
      <c r="AS486" s="59" t="str">
        <f t="shared" si="459"/>
        <v>-0.243093886824303-1.05889225270164i</v>
      </c>
      <c r="AT486" s="50">
        <f t="shared" si="460"/>
        <v>0.72009862682407921</v>
      </c>
      <c r="AU486" s="61">
        <f t="shared" si="461"/>
        <v>-102.92956816618951</v>
      </c>
      <c r="AV486" s="32" t="str">
        <f t="shared" si="436"/>
        <v>-0.0000333333333333333</v>
      </c>
      <c r="AW486" s="32" t="str">
        <f t="shared" si="437"/>
        <v>0.144351435055469i</v>
      </c>
      <c r="AX486" s="32">
        <f t="shared" si="462"/>
        <v>0.14435143505546899</v>
      </c>
      <c r="AY486" s="32">
        <f t="shared" si="463"/>
        <v>1.5707963267948966</v>
      </c>
      <c r="AZ486" s="32" t="str">
        <f t="shared" si="438"/>
        <v>1+58.8933806215891i</v>
      </c>
      <c r="BA486" s="32">
        <f t="shared" si="464"/>
        <v>58.90186992820658</v>
      </c>
      <c r="BB486" s="32">
        <f t="shared" si="465"/>
        <v>1.5538181214157183</v>
      </c>
      <c r="BC486" s="32" t="str">
        <f t="shared" si="439"/>
        <v>1+2826.88226983628i</v>
      </c>
      <c r="BD486" s="32">
        <f t="shared" si="466"/>
        <v>2826.882446709576</v>
      </c>
      <c r="BE486" s="32">
        <f t="shared" si="467"/>
        <v>1.5704425802066648</v>
      </c>
      <c r="BF486" s="59" t="str">
        <f t="shared" si="468"/>
        <v>-0.000184231470000676+0.0110809320066193i</v>
      </c>
      <c r="BG486" s="50">
        <f t="shared" si="469"/>
        <v>-39.107273873162882</v>
      </c>
      <c r="BH486" s="61">
        <f t="shared" si="470"/>
        <v>90.952511325410384</v>
      </c>
      <c r="BI486" s="59" t="str">
        <f t="shared" si="471"/>
        <v>-0.00125591429864199-0.000986644653276848i</v>
      </c>
      <c r="BJ486" s="64">
        <f t="shared" si="472"/>
        <v>-55.933255671310178</v>
      </c>
      <c r="BK486" s="61">
        <f t="shared" si="473"/>
        <v>-141.8468679914518</v>
      </c>
      <c r="BL486" s="59" t="str">
        <f t="shared" si="425"/>
        <v>0.0117782985986406-0.00249862555483736i</v>
      </c>
      <c r="BM486" s="64">
        <f t="shared" si="474"/>
        <v>-38.387175246338828</v>
      </c>
      <c r="BN486" s="61">
        <f t="shared" si="426"/>
        <v>-11.977056840779165</v>
      </c>
      <c r="BO486" s="50">
        <f t="shared" si="475"/>
        <v>-55.933255671310178</v>
      </c>
      <c r="BP486" s="61">
        <f t="shared" si="476"/>
        <v>-141.8468679914518</v>
      </c>
    </row>
    <row r="487" spans="14:68" x14ac:dyDescent="0.25">
      <c r="N487" s="11">
        <v>69</v>
      </c>
      <c r="O487" s="51">
        <f t="shared" si="477"/>
        <v>489778.81936844654</v>
      </c>
      <c r="P487" s="49" t="str">
        <f t="shared" si="427"/>
        <v>37.1583961085025</v>
      </c>
      <c r="Q487" s="18" t="str">
        <f t="shared" si="428"/>
        <v>1+2412.07397487745i</v>
      </c>
      <c r="R487" s="18">
        <f t="shared" si="440"/>
        <v>2412.0741821679326</v>
      </c>
      <c r="S487" s="18">
        <f t="shared" si="441"/>
        <v>1.5703817458354721</v>
      </c>
      <c r="T487" s="18" t="str">
        <f t="shared" si="429"/>
        <v>1+2.76963397346123i</v>
      </c>
      <c r="U487" s="18">
        <f t="shared" si="442"/>
        <v>2.9446345014195976</v>
      </c>
      <c r="V487" s="18">
        <f t="shared" si="443"/>
        <v>1.224303969350067</v>
      </c>
      <c r="W487" s="32" t="str">
        <f t="shared" si="430"/>
        <v>1-24.2423112549774i</v>
      </c>
      <c r="X487" s="18">
        <f t="shared" si="444"/>
        <v>24.262927584757858</v>
      </c>
      <c r="Y487" s="18">
        <f t="shared" si="445"/>
        <v>-1.5295695074923996</v>
      </c>
      <c r="Z487" s="32" t="str">
        <f t="shared" si="431"/>
        <v>-4.99708229754873+5.8367471514794i</v>
      </c>
      <c r="AA487" s="18">
        <f t="shared" si="446"/>
        <v>7.6836481438687558</v>
      </c>
      <c r="AB487" s="18">
        <f t="shared" si="447"/>
        <v>2.2788451429519938</v>
      </c>
      <c r="AC487" s="32" t="str">
        <f>IMDIV(IMSUM(COMPLEX(0,2*PI()*O487*Constants!$B$61*Constants!$B$62),COMPLEX(1,0)),IMSUM(COMPLEX(0,2*PI()*O487*Constants!$B$61*Constants!$B$62),COMPLEX(2,0)))</f>
        <v>0.987140199200764+0.0791487581900185i</v>
      </c>
      <c r="AD487" s="18">
        <f t="shared" si="448"/>
        <v>0.99030818374945595</v>
      </c>
      <c r="AE487" s="18">
        <f t="shared" si="449"/>
        <v>8.0008694557803364E-2</v>
      </c>
      <c r="AF487" s="66" t="str">
        <f t="shared" si="450"/>
        <v>-0.084476464513728+0.113958277906171i</v>
      </c>
      <c r="AG487" s="64">
        <f t="shared" si="451"/>
        <v>-16.963124058951564</v>
      </c>
      <c r="AH487" s="61">
        <f t="shared" si="452"/>
        <v>126.54927844037356</v>
      </c>
      <c r="AI487" s="50" t="str">
        <f t="shared" si="432"/>
        <v>107.538871525172</v>
      </c>
      <c r="AJ487" s="50" t="str">
        <f t="shared" si="433"/>
        <v>1+2293.04111439161i</v>
      </c>
      <c r="AK487" s="50">
        <f t="shared" si="453"/>
        <v>2293.0413324426395</v>
      </c>
      <c r="AL487" s="50">
        <f t="shared" si="454"/>
        <v>1.5703602247423303</v>
      </c>
      <c r="AM487" s="50" t="str">
        <f t="shared" si="434"/>
        <v>1+2.76963397346123i</v>
      </c>
      <c r="AN487" s="50">
        <f t="shared" si="455"/>
        <v>2.9446345014195976</v>
      </c>
      <c r="AO487" s="50">
        <f t="shared" si="456"/>
        <v>1.224303969350067</v>
      </c>
      <c r="AP487" s="50" t="str">
        <f t="shared" si="435"/>
        <v>1-7.96317772416375i</v>
      </c>
      <c r="AQ487" s="50">
        <f t="shared" si="457"/>
        <v>8.0257211181686205</v>
      </c>
      <c r="AR487" s="50">
        <f t="shared" si="458"/>
        <v>-1.4458722567233833</v>
      </c>
      <c r="AS487" s="59" t="str">
        <f t="shared" si="459"/>
        <v>-0.243094852889402-1.08134179477818i</v>
      </c>
      <c r="AT487" s="50">
        <f t="shared" si="460"/>
        <v>0.89338105320391126</v>
      </c>
      <c r="AU487" s="61">
        <f t="shared" si="461"/>
        <v>-102.66994093338377</v>
      </c>
      <c r="AV487" s="32" t="str">
        <f t="shared" si="436"/>
        <v>-0.0000333333333333333</v>
      </c>
      <c r="AW487" s="32" t="str">
        <f t="shared" si="437"/>
        <v>0.147713811917932i</v>
      </c>
      <c r="AX487" s="32">
        <f t="shared" si="462"/>
        <v>0.14771381191793201</v>
      </c>
      <c r="AY487" s="32">
        <f t="shared" si="463"/>
        <v>1.5707963267948966</v>
      </c>
      <c r="AZ487" s="32" t="str">
        <f t="shared" si="438"/>
        <v>1+60.2651836817954i</v>
      </c>
      <c r="BA487" s="32">
        <f t="shared" si="464"/>
        <v>60.273479775109536</v>
      </c>
      <c r="BB487" s="32">
        <f t="shared" si="465"/>
        <v>1.554204520804225</v>
      </c>
      <c r="BC487" s="32" t="str">
        <f t="shared" si="439"/>
        <v>1+2892.72881672618i</v>
      </c>
      <c r="BD487" s="32">
        <f t="shared" si="466"/>
        <v>2892.7289895733484</v>
      </c>
      <c r="BE487" s="32">
        <f t="shared" si="467"/>
        <v>1.5704506324614413</v>
      </c>
      <c r="BF487" s="59" t="str">
        <f t="shared" si="468"/>
        <v>-0.000175941970381333+0.0108288367501406i</v>
      </c>
      <c r="BG487" s="50">
        <f t="shared" si="469"/>
        <v>-39.307217558118111</v>
      </c>
      <c r="BH487" s="61">
        <f t="shared" si="470"/>
        <v>90.930833631456764</v>
      </c>
      <c r="BI487" s="59" t="str">
        <f t="shared" si="471"/>
        <v>-0.00121917263215569-0.000934831887404281i</v>
      </c>
      <c r="BJ487" s="64">
        <f t="shared" si="472"/>
        <v>-56.270341617069654</v>
      </c>
      <c r="BK487" s="61">
        <f t="shared" si="473"/>
        <v>-142.51988792816974</v>
      </c>
      <c r="BL487" s="59" t="str">
        <f t="shared" si="425"/>
        <v>0.0117524443541639-0.00244218107070982i</v>
      </c>
      <c r="BM487" s="64">
        <f t="shared" si="474"/>
        <v>-38.413836504914173</v>
      </c>
      <c r="BN487" s="61">
        <f t="shared" si="426"/>
        <v>-11.739107301926982</v>
      </c>
      <c r="BO487" s="50">
        <f t="shared" si="475"/>
        <v>-56.270341617069654</v>
      </c>
      <c r="BP487" s="61">
        <f t="shared" si="476"/>
        <v>-142.51988792816974</v>
      </c>
    </row>
    <row r="488" spans="14:68" x14ac:dyDescent="0.25">
      <c r="N488" s="11">
        <v>70</v>
      </c>
      <c r="O488" s="51">
        <f t="shared" si="477"/>
        <v>501187.23362727347</v>
      </c>
      <c r="P488" s="49" t="str">
        <f t="shared" si="427"/>
        <v>37.1583961085025</v>
      </c>
      <c r="Q488" s="18" t="str">
        <f t="shared" si="428"/>
        <v>1+2468.25839535489i</v>
      </c>
      <c r="R488" s="18">
        <f t="shared" si="440"/>
        <v>2468.2585979268656</v>
      </c>
      <c r="S488" s="18">
        <f t="shared" si="441"/>
        <v>1.5703911828492028</v>
      </c>
      <c r="T488" s="18" t="str">
        <f t="shared" si="429"/>
        <v>1+2.83414703622559i</v>
      </c>
      <c r="U488" s="18">
        <f t="shared" si="442"/>
        <v>3.0053933890501412</v>
      </c>
      <c r="V488" s="18">
        <f t="shared" si="443"/>
        <v>1.2315938225719303</v>
      </c>
      <c r="W488" s="32" t="str">
        <f t="shared" si="430"/>
        <v>1-24.8069872239073i</v>
      </c>
      <c r="X488" s="18">
        <f t="shared" si="444"/>
        <v>24.827134653984938</v>
      </c>
      <c r="Y488" s="18">
        <f t="shared" si="445"/>
        <v>-1.5305069174610759</v>
      </c>
      <c r="Z488" s="32" t="str">
        <f t="shared" si="431"/>
        <v>-5.27971607877398+5.97270245782354i</v>
      </c>
      <c r="AA488" s="18">
        <f t="shared" si="446"/>
        <v>7.9717361046484632</v>
      </c>
      <c r="AB488" s="18">
        <f t="shared" si="447"/>
        <v>2.2946866241081825</v>
      </c>
      <c r="AC488" s="32" t="str">
        <f>IMDIV(IMSUM(COMPLEX(0,2*PI()*O488*Constants!$B$61*Constants!$B$62),COMPLEX(1,0)),IMSUM(COMPLEX(0,2*PI()*O488*Constants!$B$61*Constants!$B$62),COMPLEX(2,0)))</f>
        <v>0.987704752935981+0.077436751169223i</v>
      </c>
      <c r="AD488" s="18">
        <f t="shared" si="448"/>
        <v>0.99073565061724289</v>
      </c>
      <c r="AE488" s="18">
        <f t="shared" si="449"/>
        <v>7.8240662617851273E-2</v>
      </c>
      <c r="AF488" s="66" t="str">
        <f t="shared" si="450"/>
        <v>-0.0818675722554612+0.113080011597355i</v>
      </c>
      <c r="AG488" s="64">
        <f t="shared" si="451"/>
        <v>-17.10201789121988</v>
      </c>
      <c r="AH488" s="61">
        <f t="shared" si="452"/>
        <v>125.90375514763006</v>
      </c>
      <c r="AI488" s="50" t="str">
        <f t="shared" si="432"/>
        <v>107.538871525172</v>
      </c>
      <c r="AJ488" s="50" t="str">
        <f t="shared" si="433"/>
        <v>1+2346.45290336859i</v>
      </c>
      <c r="AK488" s="50">
        <f t="shared" si="453"/>
        <v>2346.4531164561722</v>
      </c>
      <c r="AL488" s="50">
        <f t="shared" si="454"/>
        <v>1.5703701516357778</v>
      </c>
      <c r="AM488" s="50" t="str">
        <f t="shared" si="434"/>
        <v>1+2.83414703622559i</v>
      </c>
      <c r="AN488" s="50">
        <f t="shared" si="455"/>
        <v>3.0053933890501412</v>
      </c>
      <c r="AO488" s="50">
        <f t="shared" si="456"/>
        <v>1.2315938225719303</v>
      </c>
      <c r="AP488" s="50" t="str">
        <f t="shared" si="435"/>
        <v>1-8.14866396142299i</v>
      </c>
      <c r="AQ488" s="50">
        <f t="shared" si="457"/>
        <v>8.2097944161954377</v>
      </c>
      <c r="AR488" s="50">
        <f t="shared" si="458"/>
        <v>-1.4486873702811089</v>
      </c>
      <c r="AS488" s="59" t="str">
        <f t="shared" si="459"/>
        <v>-0.243095775474426-1.10436467854965i</v>
      </c>
      <c r="AT488" s="50">
        <f t="shared" si="460"/>
        <v>1.067744047687686</v>
      </c>
      <c r="AU488" s="61">
        <f t="shared" si="461"/>
        <v>-102.41412600530701</v>
      </c>
      <c r="AV488" s="32" t="str">
        <f t="shared" si="436"/>
        <v>-0.0000333333333333333</v>
      </c>
      <c r="AW488" s="32" t="str">
        <f t="shared" si="437"/>
        <v>0.151154508598698i</v>
      </c>
      <c r="AX488" s="32">
        <f t="shared" si="462"/>
        <v>0.151154508598698</v>
      </c>
      <c r="AY488" s="32">
        <f t="shared" si="463"/>
        <v>1.5707963267948966</v>
      </c>
      <c r="AZ488" s="32" t="str">
        <f t="shared" si="438"/>
        <v>1+61.6689401400938i</v>
      </c>
      <c r="BA488" s="32">
        <f t="shared" si="464"/>
        <v>61.677047416380702</v>
      </c>
      <c r="BB488" s="32">
        <f t="shared" si="465"/>
        <v>1.5545821294567539</v>
      </c>
      <c r="BC488" s="32" t="str">
        <f t="shared" si="439"/>
        <v>1+2960.10912672451i</v>
      </c>
      <c r="BD488" s="32">
        <f t="shared" si="466"/>
        <v>2960.1092956371972</v>
      </c>
      <c r="BE488" s="32">
        <f t="shared" si="467"/>
        <v>1.5704585014245649</v>
      </c>
      <c r="BF488" s="59" t="str">
        <f t="shared" si="468"/>
        <v>-0.000168025358927706+0.0105824707046418i</v>
      </c>
      <c r="BG488" s="50">
        <f t="shared" si="469"/>
        <v>-39.507163776985628</v>
      </c>
      <c r="BH488" s="61">
        <f t="shared" si="470"/>
        <v>90.909649107735376</v>
      </c>
      <c r="BI488" s="59" t="str">
        <f t="shared" si="471"/>
        <v>-0.0011829100817968-0.000885361494589759i</v>
      </c>
      <c r="BJ488" s="64">
        <f t="shared" si="472"/>
        <v>-56.609181668205501</v>
      </c>
      <c r="BK488" s="61">
        <f t="shared" si="473"/>
        <v>-143.1865957446345</v>
      </c>
      <c r="BL488" s="59" t="str">
        <f t="shared" si="425"/>
        <v>0.0117277531129207-0.00238699265087991i</v>
      </c>
      <c r="BM488" s="64">
        <f t="shared" si="474"/>
        <v>-38.43941972929796</v>
      </c>
      <c r="BN488" s="61">
        <f t="shared" si="426"/>
        <v>-11.504476897571656</v>
      </c>
      <c r="BO488" s="50">
        <f t="shared" si="475"/>
        <v>-56.609181668205501</v>
      </c>
      <c r="BP488" s="61">
        <f t="shared" si="476"/>
        <v>-143.1865957446345</v>
      </c>
    </row>
    <row r="489" spans="14:68" x14ac:dyDescent="0.25">
      <c r="N489" s="11">
        <v>71</v>
      </c>
      <c r="O489" s="51">
        <f t="shared" si="477"/>
        <v>512861.38399136515</v>
      </c>
      <c r="P489" s="49" t="str">
        <f t="shared" si="427"/>
        <v>37.1583961085025</v>
      </c>
      <c r="Q489" s="18" t="str">
        <f t="shared" si="428"/>
        <v>1+2525.75151910479i</v>
      </c>
      <c r="R489" s="18">
        <f t="shared" si="440"/>
        <v>2525.7517170656652</v>
      </c>
      <c r="S489" s="18">
        <f t="shared" si="441"/>
        <v>1.5704004050503446</v>
      </c>
      <c r="T489" s="18" t="str">
        <f t="shared" si="429"/>
        <v>1+2.9001628012629i</v>
      </c>
      <c r="U489" s="18">
        <f t="shared" si="442"/>
        <v>3.0677262384099842</v>
      </c>
      <c r="V489" s="18">
        <f t="shared" si="443"/>
        <v>1.2387541592621216</v>
      </c>
      <c r="W489" s="32" t="str">
        <f t="shared" si="430"/>
        <v>1-25.3848161858224i</v>
      </c>
      <c r="X489" s="18">
        <f t="shared" si="444"/>
        <v>25.404505363970209</v>
      </c>
      <c r="Y489" s="18">
        <f t="shared" si="445"/>
        <v>-1.5314230578362755</v>
      </c>
      <c r="Z489" s="32" t="str">
        <f t="shared" si="431"/>
        <v>-5.57566997973841+6.11182457006884i</v>
      </c>
      <c r="AA489" s="18">
        <f t="shared" si="446"/>
        <v>8.272997963148141</v>
      </c>
      <c r="AB489" s="18">
        <f t="shared" si="447"/>
        <v>2.3103524185723852</v>
      </c>
      <c r="AC489" s="32" t="str">
        <f>IMDIV(IMSUM(COMPLEX(0,2*PI()*O489*Constants!$B$61*Constants!$B$62),COMPLEX(1,0)),IMSUM(COMPLEX(0,2*PI()*O489*Constants!$B$61*Constants!$B$62),COMPLEX(2,0)))</f>
        <v>0.988245120444137+0.0757579209360893i</v>
      </c>
      <c r="AD489" s="18">
        <f t="shared" si="448"/>
        <v>0.99114463155798094</v>
      </c>
      <c r="AE489" s="18">
        <f t="shared" si="449"/>
        <v>7.6509400921656756E-2</v>
      </c>
      <c r="AF489" s="66" t="str">
        <f t="shared" si="450"/>
        <v>-0.0793058570126899+0.112156144110224i</v>
      </c>
      <c r="AG489" s="64">
        <f t="shared" si="451"/>
        <v>-17.242644739655432</v>
      </c>
      <c r="AH489" s="61">
        <f t="shared" si="452"/>
        <v>125.26421495578444</v>
      </c>
      <c r="AI489" s="50" t="str">
        <f t="shared" si="432"/>
        <v>107.538871525172</v>
      </c>
      <c r="AJ489" s="50" t="str">
        <f t="shared" si="433"/>
        <v>1+2401.1088127339i</v>
      </c>
      <c r="AK489" s="50">
        <f t="shared" si="453"/>
        <v>2401.1090209710178</v>
      </c>
      <c r="AL489" s="50">
        <f t="shared" si="454"/>
        <v>1.5703798525656241</v>
      </c>
      <c r="AM489" s="50" t="str">
        <f t="shared" si="434"/>
        <v>1+2.9001628012629i</v>
      </c>
      <c r="AN489" s="50">
        <f t="shared" si="455"/>
        <v>3.0677262384099842</v>
      </c>
      <c r="AO489" s="50">
        <f t="shared" si="456"/>
        <v>1.2387541592621216</v>
      </c>
      <c r="AP489" s="50" t="str">
        <f t="shared" si="435"/>
        <v>1-8.33847072817484i</v>
      </c>
      <c r="AQ489" s="50">
        <f t="shared" si="457"/>
        <v>8.3982196973304202</v>
      </c>
      <c r="AR489" s="50">
        <f t="shared" si="458"/>
        <v>-1.4514402848001247</v>
      </c>
      <c r="AS489" s="59" t="str">
        <f t="shared" si="459"/>
        <v>-0.243096656536298-1.12797311105625i</v>
      </c>
      <c r="AT489" s="50">
        <f t="shared" si="460"/>
        <v>1.2431485583698523</v>
      </c>
      <c r="AU489" s="61">
        <f t="shared" si="461"/>
        <v>-102.16215513870387</v>
      </c>
      <c r="AV489" s="32" t="str">
        <f t="shared" si="436"/>
        <v>-0.0000333333333333333</v>
      </c>
      <c r="AW489" s="32" t="str">
        <f t="shared" si="437"/>
        <v>0.154675349400688i</v>
      </c>
      <c r="AX489" s="32">
        <f t="shared" si="462"/>
        <v>0.154675349400688</v>
      </c>
      <c r="AY489" s="32">
        <f t="shared" si="463"/>
        <v>1.5707963267948966</v>
      </c>
      <c r="AZ489" s="32" t="str">
        <f t="shared" si="438"/>
        <v>1+63.105394286739i</v>
      </c>
      <c r="BA489" s="32">
        <f t="shared" si="464"/>
        <v>63.113317042323104</v>
      </c>
      <c r="BB489" s="32">
        <f t="shared" si="465"/>
        <v>1.5549511471554225</v>
      </c>
      <c r="BC489" s="32" t="str">
        <f t="shared" si="439"/>
        <v>1+3029.05892576348i</v>
      </c>
      <c r="BD489" s="32">
        <f t="shared" si="466"/>
        <v>3029.0590908312447</v>
      </c>
      <c r="BE489" s="32">
        <f t="shared" si="467"/>
        <v>1.57046619126826</v>
      </c>
      <c r="BF489" s="59" t="str">
        <f t="shared" si="468"/>
        <v>-0.000160464870566998+0.0103417040695735i</v>
      </c>
      <c r="BG489" s="50">
        <f t="shared" si="469"/>
        <v>-39.707112415780529</v>
      </c>
      <c r="BH489" s="61">
        <f t="shared" si="470"/>
        <v>90.888946546624879</v>
      </c>
      <c r="BI489" s="59" t="str">
        <f t="shared" si="471"/>
        <v>-0.00114715984789163-0.00083815482535709i</v>
      </c>
      <c r="BJ489" s="64">
        <f t="shared" si="472"/>
        <v>-56.949757155435961</v>
      </c>
      <c r="BK489" s="61">
        <f t="shared" si="473"/>
        <v>-143.84683849759068</v>
      </c>
      <c r="BL489" s="59" t="str">
        <f t="shared" si="425"/>
        <v>0.0117041725865063-0.00233303362293245i</v>
      </c>
      <c r="BM489" s="64">
        <f t="shared" si="474"/>
        <v>-38.463963857410654</v>
      </c>
      <c r="BN489" s="61">
        <f t="shared" si="426"/>
        <v>-11.273208592078957</v>
      </c>
      <c r="BO489" s="50">
        <f t="shared" si="475"/>
        <v>-56.949757155435961</v>
      </c>
      <c r="BP489" s="61">
        <f t="shared" si="476"/>
        <v>-143.84683849759068</v>
      </c>
    </row>
    <row r="490" spans="14:68" x14ac:dyDescent="0.25">
      <c r="N490" s="11">
        <v>72</v>
      </c>
      <c r="O490" s="51">
        <f t="shared" si="477"/>
        <v>524807.46024977288</v>
      </c>
      <c r="P490" s="49" t="str">
        <f t="shared" si="427"/>
        <v>37.1583961085025</v>
      </c>
      <c r="Q490" s="18" t="str">
        <f t="shared" si="428"/>
        <v>1+2584.5838297424i</v>
      </c>
      <c r="R490" s="18">
        <f t="shared" si="440"/>
        <v>2584.5840231971356</v>
      </c>
      <c r="S490" s="18">
        <f t="shared" si="441"/>
        <v>1.5704094173286247</v>
      </c>
      <c r="T490" s="18" t="str">
        <f t="shared" si="429"/>
        <v>1+2.96771627100565i</v>
      </c>
      <c r="U490" s="18">
        <f t="shared" si="442"/>
        <v>3.1316672660408358</v>
      </c>
      <c r="V490" s="18">
        <f t="shared" si="443"/>
        <v>1.2457858380842051</v>
      </c>
      <c r="W490" s="32" t="str">
        <f t="shared" si="430"/>
        <v>1-25.9761045132872i</v>
      </c>
      <c r="X490" s="18">
        <f t="shared" si="444"/>
        <v>25.995345846616846</v>
      </c>
      <c r="Y490" s="18">
        <f t="shared" si="445"/>
        <v>-1.532318408212815</v>
      </c>
      <c r="Z490" s="32" t="str">
        <f t="shared" si="431"/>
        <v>-5.8855717583454+6.25418725260079i</v>
      </c>
      <c r="AA490" s="18">
        <f t="shared" si="446"/>
        <v>8.5880622443731269</v>
      </c>
      <c r="AB490" s="18">
        <f t="shared" si="447"/>
        <v>2.3258394996414586</v>
      </c>
      <c r="AC490" s="32" t="str">
        <f>IMDIV(IMSUM(COMPLEX(0,2*PI()*O490*Constants!$B$61*Constants!$B$62),COMPLEX(1,0)),IMSUM(COMPLEX(0,2*PI()*O490*Constants!$B$61*Constants!$B$62),COMPLEX(2,0)))</f>
        <v>0.988762286398544+0.0741118788976465i</v>
      </c>
      <c r="AD490" s="18">
        <f t="shared" si="448"/>
        <v>0.99153589425588418</v>
      </c>
      <c r="AE490" s="18">
        <f t="shared" si="449"/>
        <v>7.4814296428121069E-2</v>
      </c>
      <c r="AF490" s="66" t="str">
        <f t="shared" si="450"/>
        <v>-0.0767923642547985+0.111188872628288i</v>
      </c>
      <c r="AG490" s="64">
        <f t="shared" si="451"/>
        <v>-17.384984513467508</v>
      </c>
      <c r="AH490" s="61">
        <f t="shared" si="452"/>
        <v>124.63081759636272</v>
      </c>
      <c r="AI490" s="50" t="str">
        <f t="shared" si="432"/>
        <v>107.538871525172</v>
      </c>
      <c r="AJ490" s="50" t="str">
        <f t="shared" si="433"/>
        <v>1+2457.03782177417i</v>
      </c>
      <c r="AK490" s="50">
        <f t="shared" si="453"/>
        <v>2457.038025271233</v>
      </c>
      <c r="AL490" s="50">
        <f t="shared" si="454"/>
        <v>1.5703893326754235</v>
      </c>
      <c r="AM490" s="50" t="str">
        <f t="shared" si="434"/>
        <v>1+2.96771627100565i</v>
      </c>
      <c r="AN490" s="50">
        <f t="shared" si="455"/>
        <v>3.1316672660408358</v>
      </c>
      <c r="AO490" s="50">
        <f t="shared" si="456"/>
        <v>1.2457858380842051</v>
      </c>
      <c r="AP490" s="50" t="str">
        <f t="shared" si="435"/>
        <v>1-8.53269866247953i</v>
      </c>
      <c r="AQ490" s="50">
        <f t="shared" si="457"/>
        <v>8.5910969302342277</v>
      </c>
      <c r="AR490" s="50">
        <f t="shared" si="458"/>
        <v>-1.4541322929180467</v>
      </c>
      <c r="AS490" s="59" t="str">
        <f t="shared" si="459"/>
        <v>-0.243097497943867-1.15217960980379i</v>
      </c>
      <c r="AT490" s="50">
        <f t="shared" si="460"/>
        <v>1.4195565803997823</v>
      </c>
      <c r="AU490" s="61">
        <f t="shared" si="461"/>
        <v>-101.91405349315973</v>
      </c>
      <c r="AV490" s="32" t="str">
        <f t="shared" si="436"/>
        <v>-0.0000333333333333333</v>
      </c>
      <c r="AW490" s="32" t="str">
        <f t="shared" si="437"/>
        <v>0.158278201120301i</v>
      </c>
      <c r="AX490" s="32">
        <f t="shared" si="462"/>
        <v>0.158278201120301</v>
      </c>
      <c r="AY490" s="32">
        <f t="shared" si="463"/>
        <v>1.5707963267948966</v>
      </c>
      <c r="AZ490" s="32" t="str">
        <f t="shared" si="438"/>
        <v>1+64.5753077487341i</v>
      </c>
      <c r="BA490" s="32">
        <f t="shared" si="464"/>
        <v>64.583050182255406</v>
      </c>
      <c r="BB490" s="32">
        <f t="shared" si="465"/>
        <v>1.5553117691560636</v>
      </c>
      <c r="BC490" s="32" t="str">
        <f t="shared" si="439"/>
        <v>1+3099.61477193924i</v>
      </c>
      <c r="BD490" s="32">
        <f t="shared" si="466"/>
        <v>3099.6149332496043</v>
      </c>
      <c r="BE490" s="32">
        <f t="shared" si="467"/>
        <v>1.57047370606978</v>
      </c>
      <c r="BF490" s="59" t="str">
        <f t="shared" si="468"/>
        <v>-0.000153244493226031+0.0101064099581832i</v>
      </c>
      <c r="BG490" s="50">
        <f t="shared" si="469"/>
        <v>-39.907063365642941</v>
      </c>
      <c r="BH490" s="61">
        <f t="shared" si="470"/>
        <v>90.868714994399539</v>
      </c>
      <c r="BI490" s="59" t="str">
        <f t="shared" si="471"/>
        <v>-0.00111195232262584-0.000793134197255423i</v>
      </c>
      <c r="BJ490" s="64">
        <f t="shared" si="472"/>
        <v>-57.292047879110441</v>
      </c>
      <c r="BK490" s="61">
        <f t="shared" si="473"/>
        <v>-144.50046740923781</v>
      </c>
      <c r="BL490" s="59" t="str">
        <f t="shared" si="425"/>
        <v>0.0116816528350136-0.00228027779361957i</v>
      </c>
      <c r="BM490" s="64">
        <f t="shared" si="474"/>
        <v>-38.487506785243141</v>
      </c>
      <c r="BN490" s="61">
        <f t="shared" si="426"/>
        <v>-11.045338498760161</v>
      </c>
      <c r="BO490" s="50">
        <f t="shared" si="475"/>
        <v>-57.292047879110441</v>
      </c>
      <c r="BP490" s="61">
        <f t="shared" si="476"/>
        <v>-144.50046740923781</v>
      </c>
    </row>
    <row r="491" spans="14:68" x14ac:dyDescent="0.25">
      <c r="N491" s="11">
        <v>73</v>
      </c>
      <c r="O491" s="51">
        <f t="shared" si="477"/>
        <v>537031.7963702539</v>
      </c>
      <c r="P491" s="49" t="str">
        <f t="shared" si="427"/>
        <v>37.1583961085025</v>
      </c>
      <c r="Q491" s="18" t="str">
        <f t="shared" si="428"/>
        <v>1+2644.78652093756i</v>
      </c>
      <c r="R491" s="18">
        <f t="shared" si="440"/>
        <v>2644.7867099887285</v>
      </c>
      <c r="S491" s="18">
        <f t="shared" si="441"/>
        <v>1.5704182244624665</v>
      </c>
      <c r="T491" s="18" t="str">
        <f t="shared" si="429"/>
        <v>1+3.03684326319766i</v>
      </c>
      <c r="U491" s="18">
        <f t="shared" si="442"/>
        <v>3.1972514766951021</v>
      </c>
      <c r="V491" s="18">
        <f t="shared" si="443"/>
        <v>1.2526898049943702</v>
      </c>
      <c r="W491" s="32" t="str">
        <f t="shared" si="430"/>
        <v>1-26.5811657151993i</v>
      </c>
      <c r="X491" s="18">
        <f t="shared" si="444"/>
        <v>26.599969375525358</v>
      </c>
      <c r="Y491" s="18">
        <f t="shared" si="445"/>
        <v>-1.5331934375719616</v>
      </c>
      <c r="Z491" s="32" t="str">
        <f t="shared" si="431"/>
        <v>-6.21007875781651+6.39986598799802i</v>
      </c>
      <c r="AA491" s="18">
        <f t="shared" si="446"/>
        <v>8.9175872769834861</v>
      </c>
      <c r="AB491" s="18">
        <f t="shared" si="447"/>
        <v>2.3411450267951404</v>
      </c>
      <c r="AC491" s="32" t="str">
        <f>IMDIV(IMSUM(COMPLEX(0,2*PI()*O491*Constants!$B$61*Constants!$B$62),COMPLEX(1,0)),IMSUM(COMPLEX(0,2*PI()*O491*Constants!$B$61*Constants!$B$62),COMPLEX(2,0)))</f>
        <v>0.989257199830638+0.0724982229382368i</v>
      </c>
      <c r="AD491" s="18">
        <f t="shared" si="448"/>
        <v>0.99191017725697173</v>
      </c>
      <c r="AE491" s="18">
        <f t="shared" si="449"/>
        <v>7.3154735948446611E-2</v>
      </c>
      <c r="AF491" s="66" t="str">
        <f t="shared" si="450"/>
        <v>-0.0743280337066772+0.110180419520631i</v>
      </c>
      <c r="AG491" s="64">
        <f t="shared" si="451"/>
        <v>-17.529015657980956</v>
      </c>
      <c r="AH491" s="61">
        <f t="shared" si="452"/>
        <v>124.00371774092419</v>
      </c>
      <c r="AI491" s="50" t="str">
        <f t="shared" si="432"/>
        <v>107.538871525172</v>
      </c>
      <c r="AJ491" s="50" t="str">
        <f t="shared" si="433"/>
        <v>1+2514.26958479028i</v>
      </c>
      <c r="AK491" s="50">
        <f t="shared" si="453"/>
        <v>2514.2697836551843</v>
      </c>
      <c r="AL491" s="50">
        <f t="shared" si="454"/>
        <v>1.570398596991649</v>
      </c>
      <c r="AM491" s="50" t="str">
        <f t="shared" si="434"/>
        <v>1+3.03684326319766i</v>
      </c>
      <c r="AN491" s="50">
        <f t="shared" si="455"/>
        <v>3.1972514766951021</v>
      </c>
      <c r="AO491" s="50">
        <f t="shared" si="456"/>
        <v>1.2526898049943702</v>
      </c>
      <c r="AP491" s="50" t="str">
        <f t="shared" si="435"/>
        <v>1-8.73145074655868i</v>
      </c>
      <c r="AQ491" s="50">
        <f t="shared" si="457"/>
        <v>8.7885284399369237</v>
      </c>
      <c r="AR491" s="50">
        <f t="shared" si="458"/>
        <v>-1.4567646658193334</v>
      </c>
      <c r="AS491" s="59" t="str">
        <f t="shared" si="459"/>
        <v>-0.24309830148187-1.17699700940053i</v>
      </c>
      <c r="AT491" s="50">
        <f t="shared" si="460"/>
        <v>1.596931156606509</v>
      </c>
      <c r="AU491" s="61">
        <f t="shared" si="461"/>
        <v>-101.66983999087736</v>
      </c>
      <c r="AV491" s="32" t="str">
        <f t="shared" si="436"/>
        <v>-0.0000333333333333333</v>
      </c>
      <c r="AW491" s="32" t="str">
        <f t="shared" si="437"/>
        <v>0.161964974037208i</v>
      </c>
      <c r="AX491" s="32">
        <f t="shared" si="462"/>
        <v>0.161964974037208</v>
      </c>
      <c r="AY491" s="32">
        <f t="shared" si="463"/>
        <v>1.5707963267948966</v>
      </c>
      <c r="AZ491" s="32" t="str">
        <f t="shared" si="438"/>
        <v>1+66.0794598936528i</v>
      </c>
      <c r="BA491" s="32">
        <f t="shared" si="464"/>
        <v>66.087026108282927</v>
      </c>
      <c r="BB491" s="32">
        <f t="shared" si="465"/>
        <v>1.5556641862898344</v>
      </c>
      <c r="BC491" s="32" t="str">
        <f t="shared" si="439"/>
        <v>1+3171.81407489534i</v>
      </c>
      <c r="BD491" s="32">
        <f t="shared" si="466"/>
        <v>3171.8142325338317</v>
      </c>
      <c r="BE491" s="32">
        <f t="shared" si="467"/>
        <v>1.5704810498135686</v>
      </c>
      <c r="BF491" s="59" t="str">
        <f t="shared" si="468"/>
        <v>-0.000146348934077232+0.00987646433391009i</v>
      </c>
      <c r="BG491" s="50">
        <f t="shared" si="469"/>
        <v>-40.107016522607559</v>
      </c>
      <c r="BH491" s="61">
        <f t="shared" si="470"/>
        <v>90.848943745531315</v>
      </c>
      <c r="BI491" s="59" t="str">
        <f t="shared" si="471"/>
        <v>-0.00107731515518573-0.000750222960866691i</v>
      </c>
      <c r="BJ491" s="64">
        <f t="shared" si="472"/>
        <v>-57.636032180588536</v>
      </c>
      <c r="BK491" s="61">
        <f t="shared" si="473"/>
        <v>-145.14733851354436</v>
      </c>
      <c r="BL491" s="59" t="str">
        <f t="shared" si="425"/>
        <v>0.011660146161761-0.00222869944648195i</v>
      </c>
      <c r="BM491" s="64">
        <f t="shared" si="474"/>
        <v>-38.510085366001064</v>
      </c>
      <c r="BN491" s="61">
        <f t="shared" si="426"/>
        <v>-10.820896245346056</v>
      </c>
      <c r="BO491" s="50">
        <f t="shared" si="475"/>
        <v>-57.636032180588536</v>
      </c>
      <c r="BP491" s="61">
        <f t="shared" si="476"/>
        <v>-145.14733851354436</v>
      </c>
    </row>
    <row r="492" spans="14:68" x14ac:dyDescent="0.25">
      <c r="N492" s="11">
        <v>74</v>
      </c>
      <c r="O492" s="51">
        <f t="shared" si="477"/>
        <v>549540.87385762564</v>
      </c>
      <c r="P492" s="49" t="str">
        <f t="shared" si="427"/>
        <v>37.1583961085025</v>
      </c>
      <c r="Q492" s="18" t="str">
        <f t="shared" si="428"/>
        <v>1+2706.39151295399i</v>
      </c>
      <c r="R492" s="18">
        <f t="shared" si="440"/>
        <v>2706.3916977018289</v>
      </c>
      <c r="S492" s="18">
        <f t="shared" si="441"/>
        <v>1.5704268311215233</v>
      </c>
      <c r="T492" s="18" t="str">
        <f t="shared" si="429"/>
        <v>1+3.10758042988518i</v>
      </c>
      <c r="U492" s="18">
        <f t="shared" si="442"/>
        <v>3.2645146849425197</v>
      </c>
      <c r="V492" s="18">
        <f t="shared" si="443"/>
        <v>1.2594670870752938</v>
      </c>
      <c r="W492" s="32" t="str">
        <f t="shared" si="430"/>
        <v>1-27.2003206030168i</v>
      </c>
      <c r="X492" s="18">
        <f t="shared" si="444"/>
        <v>27.218696532106385</v>
      </c>
      <c r="Y492" s="18">
        <f t="shared" si="445"/>
        <v>-1.5340486045028905</v>
      </c>
      <c r="Z492" s="32" t="str">
        <f t="shared" si="431"/>
        <v>-6.54987930100506+6.5489380170543i</v>
      </c>
      <c r="AA492" s="18">
        <f t="shared" si="446"/>
        <v>9.2622625750382195</v>
      </c>
      <c r="AB492" s="18">
        <f t="shared" si="447"/>
        <v>2.3562663504165378</v>
      </c>
      <c r="AC492" s="32" t="str">
        <f>IMDIV(IMSUM(COMPLEX(0,2*PI()*O492*Constants!$B$61*Constants!$B$62),COMPLEX(1,0)),IMSUM(COMPLEX(0,2*PI()*O492*Constants!$B$61*Constants!$B$62),COMPLEX(2,0)))</f>
        <v>0.989730775028467+0.0709165390036107i</v>
      </c>
      <c r="AD492" s="18">
        <f t="shared" si="448"/>
        <v>0.99226819083486739</v>
      </c>
      <c r="AE492" s="18">
        <f t="shared" si="449"/>
        <v>7.1530107002260604E-2</v>
      </c>
      <c r="AF492" s="66" t="str">
        <f t="shared" si="450"/>
        <v>-0.071913697990657+0.109133025474294i</v>
      </c>
      <c r="AG492" s="64">
        <f t="shared" si="451"/>
        <v>-17.674715232178105</v>
      </c>
      <c r="AH492" s="61">
        <f t="shared" si="452"/>
        <v>123.38306441352105</v>
      </c>
      <c r="AI492" s="50" t="str">
        <f t="shared" si="432"/>
        <v>107.538871525172</v>
      </c>
      <c r="AJ492" s="50" t="str">
        <f t="shared" si="433"/>
        <v>1+2572.83444682053i</v>
      </c>
      <c r="AK492" s="50">
        <f t="shared" si="453"/>
        <v>2572.8346411587167</v>
      </c>
      <c r="AL492" s="50">
        <f t="shared" si="454"/>
        <v>1.5704076504263571</v>
      </c>
      <c r="AM492" s="50" t="str">
        <f t="shared" si="434"/>
        <v>1+3.10758042988518i</v>
      </c>
      <c r="AN492" s="50">
        <f t="shared" si="455"/>
        <v>3.2645146849425197</v>
      </c>
      <c r="AO492" s="50">
        <f t="shared" si="456"/>
        <v>1.2594670870752938</v>
      </c>
      <c r="AP492" s="50" t="str">
        <f t="shared" si="435"/>
        <v>1-8.93483236139804i</v>
      </c>
      <c r="AQ492" s="50">
        <f t="shared" si="457"/>
        <v>8.990618962356578</v>
      </c>
      <c r="AR492" s="50">
        <f t="shared" si="458"/>
        <v>-1.4593386532183197</v>
      </c>
      <c r="AS492" s="59" t="str">
        <f t="shared" si="459"/>
        <v>-0.243099068854716-1.20243846836226i</v>
      </c>
      <c r="AT492" s="50">
        <f t="shared" si="460"/>
        <v>1.7752363754572196</v>
      </c>
      <c r="AU492" s="61">
        <f t="shared" si="461"/>
        <v>-101.42952766915148</v>
      </c>
      <c r="AV492" s="32" t="str">
        <f t="shared" si="436"/>
        <v>-0.0000333333333333333</v>
      </c>
      <c r="AW492" s="32" t="str">
        <f t="shared" si="437"/>
        <v>0.165737622927209i</v>
      </c>
      <c r="AX492" s="32">
        <f t="shared" si="462"/>
        <v>0.16573762292720901</v>
      </c>
      <c r="AY492" s="32">
        <f t="shared" si="463"/>
        <v>1.5707963267948966</v>
      </c>
      <c r="AZ492" s="32" t="str">
        <f t="shared" si="438"/>
        <v>1+67.6186482428719i</v>
      </c>
      <c r="BA492" s="32">
        <f t="shared" si="464"/>
        <v>67.626042248480303</v>
      </c>
      <c r="BB492" s="32">
        <f t="shared" si="465"/>
        <v>1.5560085850626069</v>
      </c>
      <c r="BC492" s="32" t="str">
        <f t="shared" si="439"/>
        <v>1+3245.69511565786i</v>
      </c>
      <c r="BD492" s="32">
        <f t="shared" si="466"/>
        <v>3245.6952697080615</v>
      </c>
      <c r="BE492" s="32">
        <f t="shared" si="467"/>
        <v>1.5704882263933728</v>
      </c>
      <c r="BF492" s="59" t="str">
        <f t="shared" si="468"/>
        <v>-0.000139763587291753+0.00965174594804602i</v>
      </c>
      <c r="BG492" s="50">
        <f t="shared" si="469"/>
        <v>-40.306971787384029</v>
      </c>
      <c r="BH492" s="61">
        <f t="shared" si="470"/>
        <v>90.829622337116064</v>
      </c>
      <c r="BI492" s="59" t="str">
        <f t="shared" si="471"/>
        <v>-0.00104327332001293-0.000709345566322619i</v>
      </c>
      <c r="BJ492" s="64">
        <f t="shared" si="472"/>
        <v>-57.981687019562138</v>
      </c>
      <c r="BK492" s="61">
        <f t="shared" si="473"/>
        <v>-145.78731324936285</v>
      </c>
      <c r="BL492" s="59" t="str">
        <f t="shared" si="425"/>
        <v>0.0116396070127205-0.00217827333895636i</v>
      </c>
      <c r="BM492" s="64">
        <f t="shared" si="474"/>
        <v>-38.531735411926824</v>
      </c>
      <c r="BN492" s="61">
        <f t="shared" si="426"/>
        <v>-10.599905332035453</v>
      </c>
      <c r="BO492" s="50">
        <f t="shared" si="475"/>
        <v>-57.981687019562138</v>
      </c>
      <c r="BP492" s="61">
        <f t="shared" si="476"/>
        <v>-145.78731324936285</v>
      </c>
    </row>
    <row r="493" spans="14:68" x14ac:dyDescent="0.25">
      <c r="N493" s="11">
        <v>75</v>
      </c>
      <c r="O493" s="51">
        <f t="shared" si="477"/>
        <v>562341.32519035018</v>
      </c>
      <c r="P493" s="49" t="str">
        <f t="shared" si="427"/>
        <v>37.1583961085025</v>
      </c>
      <c r="Q493" s="18" t="str">
        <f t="shared" si="428"/>
        <v>1+2769.43146957393i</v>
      </c>
      <c r="R493" s="18">
        <f t="shared" si="440"/>
        <v>2769.4316501163948</v>
      </c>
      <c r="S493" s="18">
        <f t="shared" si="441"/>
        <v>1.5704352418691545</v>
      </c>
      <c r="T493" s="18" t="str">
        <f t="shared" si="429"/>
        <v>1+3.17996527685032i</v>
      </c>
      <c r="U493" s="18">
        <f t="shared" si="442"/>
        <v>3.3334935371129388</v>
      </c>
      <c r="V493" s="18">
        <f t="shared" si="443"/>
        <v>1.2661187865445602</v>
      </c>
      <c r="W493" s="32" t="str">
        <f t="shared" si="430"/>
        <v>1-27.833897460857i</v>
      </c>
      <c r="X493" s="18">
        <f t="shared" si="444"/>
        <v>27.851855375567027</v>
      </c>
      <c r="Y493" s="18">
        <f t="shared" si="445"/>
        <v>-1.5348843574204321</v>
      </c>
      <c r="Z493" s="32" t="str">
        <f t="shared" si="431"/>
        <v>-6.90569415042096+6.7014823797327i</v>
      </c>
      <c r="AA493" s="18">
        <f t="shared" si="446"/>
        <v>9.6228102852039079</v>
      </c>
      <c r="AB493" s="18">
        <f t="shared" si="447"/>
        <v>2.3712010156676429</v>
      </c>
      <c r="AC493" s="32" t="str">
        <f>IMDIV(IMSUM(COMPLEX(0,2*PI()*O493*Constants!$B$61*Constants!$B$62),COMPLEX(1,0)),IMSUM(COMPLEX(0,2*PI()*O493*Constants!$B$61*Constants!$B$62),COMPLEX(2,0)))</f>
        <v>0.990183892449775+0.0693664025856538i</v>
      </c>
      <c r="AD493" s="18">
        <f t="shared" si="448"/>
        <v>0.99261061785307481</v>
      </c>
      <c r="AE493" s="18">
        <f t="shared" si="449"/>
        <v>6.993979860645326E-2</v>
      </c>
      <c r="AF493" s="66" t="str">
        <f t="shared" si="450"/>
        <v>-0.0695500819008225+0.108048942572117i</v>
      </c>
      <c r="AG493" s="64">
        <f t="shared" si="451"/>
        <v>-17.822058991272741</v>
      </c>
      <c r="AH493" s="61">
        <f t="shared" si="452"/>
        <v>122.7690004579336</v>
      </c>
      <c r="AI493" s="50" t="str">
        <f t="shared" si="432"/>
        <v>107.538871525172</v>
      </c>
      <c r="AJ493" s="50" t="str">
        <f t="shared" si="433"/>
        <v>1+2632.76345972998i</v>
      </c>
      <c r="AK493" s="50">
        <f t="shared" si="453"/>
        <v>2632.7636496444893</v>
      </c>
      <c r="AL493" s="50">
        <f t="shared" si="454"/>
        <v>1.570416497779793</v>
      </c>
      <c r="AM493" s="50" t="str">
        <f t="shared" si="434"/>
        <v>1+3.17996527685032i</v>
      </c>
      <c r="AN493" s="50">
        <f t="shared" si="455"/>
        <v>3.3334935371129388</v>
      </c>
      <c r="AO493" s="50">
        <f t="shared" si="456"/>
        <v>1.2661187865445602</v>
      </c>
      <c r="AP493" s="50" t="str">
        <f t="shared" si="435"/>
        <v>1-9.14295134262193i</v>
      </c>
      <c r="AQ493" s="50">
        <f t="shared" si="457"/>
        <v>9.19747570007946</v>
      </c>
      <c r="AR493" s="50">
        <f t="shared" si="458"/>
        <v>-1.4618554833735424</v>
      </c>
      <c r="AS493" s="59" t="str">
        <f t="shared" si="459"/>
        <v>-0.243099801690106-1.22851747608922i</v>
      </c>
      <c r="AT493" s="50">
        <f t="shared" si="460"/>
        <v>1.9544373665489623</v>
      </c>
      <c r="AU493" s="61">
        <f t="shared" si="461"/>
        <v>-101.19312402463039</v>
      </c>
      <c r="AV493" s="32" t="str">
        <f t="shared" si="436"/>
        <v>-0.0000333333333333333</v>
      </c>
      <c r="AW493" s="32" t="str">
        <f t="shared" si="437"/>
        <v>0.169598148098684i</v>
      </c>
      <c r="AX493" s="32">
        <f t="shared" si="462"/>
        <v>0.16959814809868401</v>
      </c>
      <c r="AY493" s="32">
        <f t="shared" si="463"/>
        <v>1.5707963267948966</v>
      </c>
      <c r="AZ493" s="32" t="str">
        <f t="shared" si="438"/>
        <v>1+69.1936888944283i</v>
      </c>
      <c r="BA493" s="32">
        <f t="shared" si="464"/>
        <v>69.200914609699566</v>
      </c>
      <c r="BB493" s="32">
        <f t="shared" si="465"/>
        <v>1.5563451477521875</v>
      </c>
      <c r="BC493" s="32" t="str">
        <f t="shared" si="439"/>
        <v>1+3321.29706693256i</v>
      </c>
      <c r="BD493" s="32">
        <f t="shared" si="466"/>
        <v>3321.2972174761512</v>
      </c>
      <c r="BE493" s="32">
        <f t="shared" si="467"/>
        <v>1.5704952396143073</v>
      </c>
      <c r="BF493" s="59" t="str">
        <f t="shared" si="468"/>
        <v>-0.000133474503233041+0.00943213627864689i</v>
      </c>
      <c r="BG493" s="50">
        <f t="shared" si="469"/>
        <v>-40.50692906514675</v>
      </c>
      <c r="BH493" s="61">
        <f t="shared" si="470"/>
        <v>90.810740543421886</v>
      </c>
      <c r="BI493" s="59" t="str">
        <f t="shared" si="471"/>
        <v>-0.00100984918847237-0.000670427629614279i</v>
      </c>
      <c r="BJ493" s="64">
        <f t="shared" si="472"/>
        <v>-58.32898805641949</v>
      </c>
      <c r="BK493" s="61">
        <f t="shared" si="473"/>
        <v>-146.4202589986445</v>
      </c>
      <c r="BL493" s="59" t="str">
        <f t="shared" si="425"/>
        <v>0.0116199918804395-0.002128974699019i</v>
      </c>
      <c r="BM493" s="64">
        <f t="shared" si="474"/>
        <v>-38.55249169859777</v>
      </c>
      <c r="BN493" s="61">
        <f t="shared" si="426"/>
        <v>-10.382383481208521</v>
      </c>
      <c r="BO493" s="50">
        <f t="shared" si="475"/>
        <v>-58.32898805641949</v>
      </c>
      <c r="BP493" s="61">
        <f t="shared" si="476"/>
        <v>-146.4202589986445</v>
      </c>
    </row>
    <row r="494" spans="14:68" x14ac:dyDescent="0.25">
      <c r="N494" s="11">
        <v>76</v>
      </c>
      <c r="O494" s="51">
        <f t="shared" si="477"/>
        <v>575439.93733715697</v>
      </c>
      <c r="P494" s="49" t="str">
        <f t="shared" si="427"/>
        <v>37.1583961085025</v>
      </c>
      <c r="Q494" s="18" t="str">
        <f t="shared" si="428"/>
        <v>1+2833.93981541679i</v>
      </c>
      <c r="R494" s="18">
        <f t="shared" si="440"/>
        <v>2833.9399918496074</v>
      </c>
      <c r="S494" s="18">
        <f t="shared" si="441"/>
        <v>1.570443461164845</v>
      </c>
      <c r="T494" s="18" t="str">
        <f t="shared" si="429"/>
        <v>1+3.25403618349706i</v>
      </c>
      <c r="U494" s="18">
        <f t="shared" si="442"/>
        <v>3.4042255335844169</v>
      </c>
      <c r="V494" s="18">
        <f t="shared" si="443"/>
        <v>1.2726460749486872</v>
      </c>
      <c r="W494" s="32" t="str">
        <f t="shared" si="430"/>
        <v>1-28.482232219556i</v>
      </c>
      <c r="X494" s="18">
        <f t="shared" si="444"/>
        <v>28.499781616860048</v>
      </c>
      <c r="Y494" s="18">
        <f t="shared" si="445"/>
        <v>-1.5357011347791052</v>
      </c>
      <c r="Z494" s="32" t="str">
        <f t="shared" si="431"/>
        <v>-7.2782780370648+6.85757995707341i</v>
      </c>
      <c r="AA494" s="18">
        <f t="shared" si="446"/>
        <v>9.9999867026148994</v>
      </c>
      <c r="AB494" s="18">
        <f t="shared" si="447"/>
        <v>2.3859467655162643</v>
      </c>
      <c r="AC494" s="32" t="str">
        <f>IMDIV(IMSUM(COMPLEX(0,2*PI()*O494*Constants!$B$61*Constants!$B$62),COMPLEX(1,0)),IMSUM(COMPLEX(0,2*PI()*O494*Constants!$B$61*Constants!$B$62),COMPLEX(2,0)))</f>
        <v>0.990617399645005+0.0678473801121001i</v>
      </c>
      <c r="AD494" s="18">
        <f t="shared" si="448"/>
        <v>0.99293811462120196</v>
      </c>
      <c r="AE494" s="18">
        <f t="shared" si="449"/>
        <v>6.8383202000542639E-2</v>
      </c>
      <c r="AF494" s="66" t="str">
        <f t="shared" si="450"/>
        <v>-0.0672378023003264+0.106930427385099i</v>
      </c>
      <c r="AG494" s="64">
        <f t="shared" si="451"/>
        <v>-17.971021473429275</v>
      </c>
      <c r="AH494" s="61">
        <f t="shared" si="452"/>
        <v>122.16166206074276</v>
      </c>
      <c r="AI494" s="50" t="str">
        <f t="shared" si="432"/>
        <v>107.538871525172</v>
      </c>
      <c r="AJ494" s="50" t="str">
        <f t="shared" si="433"/>
        <v>1+2694.08839867452i</v>
      </c>
      <c r="AK494" s="50">
        <f t="shared" si="453"/>
        <v>2694.0885842660477</v>
      </c>
      <c r="AL494" s="50">
        <f t="shared" si="454"/>
        <v>1.5704251437429351</v>
      </c>
      <c r="AM494" s="50" t="str">
        <f t="shared" si="434"/>
        <v>1+3.25403618349706i</v>
      </c>
      <c r="AN494" s="50">
        <f t="shared" si="455"/>
        <v>3.4042255335844169</v>
      </c>
      <c r="AO494" s="50">
        <f t="shared" si="456"/>
        <v>1.2726460749486872</v>
      </c>
      <c r="AP494" s="50" t="str">
        <f t="shared" si="435"/>
        <v>1-9.35591803766892i</v>
      </c>
      <c r="AQ494" s="50">
        <f t="shared" si="457"/>
        <v>9.4092083794322825</v>
      </c>
      <c r="AR494" s="50">
        <f t="shared" si="458"/>
        <v>-1.4643163631308767</v>
      </c>
      <c r="AS494" s="59" t="str">
        <f t="shared" si="459"/>
        <v>-0.243100501542478-1.25524786001829i</v>
      </c>
      <c r="AT494" s="50">
        <f t="shared" si="460"/>
        <v>2.1345002938282973</v>
      </c>
      <c r="AU494" s="61">
        <f t="shared" si="461"/>
        <v>-100.96063134859152</v>
      </c>
      <c r="AV494" s="32" t="str">
        <f t="shared" si="436"/>
        <v>-0.0000333333333333333</v>
      </c>
      <c r="AW494" s="32" t="str">
        <f t="shared" si="437"/>
        <v>0.173548596453176i</v>
      </c>
      <c r="AX494" s="32">
        <f t="shared" si="462"/>
        <v>0.173548596453176</v>
      </c>
      <c r="AY494" s="32">
        <f t="shared" si="463"/>
        <v>1.5707963267948966</v>
      </c>
      <c r="AZ494" s="32" t="str">
        <f t="shared" si="438"/>
        <v>1+70.805416955723i</v>
      </c>
      <c r="BA494" s="32">
        <f t="shared" si="464"/>
        <v>70.812478210226388</v>
      </c>
      <c r="BB494" s="32">
        <f t="shared" si="465"/>
        <v>1.5566740525034022</v>
      </c>
      <c r="BC494" s="32" t="str">
        <f t="shared" si="439"/>
        <v>1+3398.66001387471i</v>
      </c>
      <c r="BD494" s="32">
        <f t="shared" si="466"/>
        <v>3398.660160991511</v>
      </c>
      <c r="BE494" s="32">
        <f t="shared" si="467"/>
        <v>1.5705020931948719</v>
      </c>
      <c r="BF494" s="59" t="str">
        <f t="shared" si="468"/>
        <v>-0.000127468359026912+0.00921751947067662i</v>
      </c>
      <c r="BG494" s="50">
        <f t="shared" si="469"/>
        <v>-40.706888265334115</v>
      </c>
      <c r="BH494" s="61">
        <f t="shared" si="470"/>
        <v>90.792288370556392</v>
      </c>
      <c r="BI494" s="59" t="str">
        <f t="shared" si="471"/>
        <v>-0.000977062604106124-0.000633395997977589i</v>
      </c>
      <c r="BJ494" s="64">
        <f t="shared" si="472"/>
        <v>-58.677909738763383</v>
      </c>
      <c r="BK494" s="61">
        <f t="shared" si="473"/>
        <v>-147.04604956870082</v>
      </c>
      <c r="BL494" s="59" t="str">
        <f t="shared" si="425"/>
        <v>0.011601259212254-0.00208077922141047i</v>
      </c>
      <c r="BM494" s="64">
        <f t="shared" si="474"/>
        <v>-38.572387971505798</v>
      </c>
      <c r="BN494" s="61">
        <f t="shared" si="426"/>
        <v>-10.168342978035136</v>
      </c>
      <c r="BO494" s="50">
        <f t="shared" si="475"/>
        <v>-58.677909738763383</v>
      </c>
      <c r="BP494" s="61">
        <f t="shared" si="476"/>
        <v>-147.04604956870082</v>
      </c>
    </row>
    <row r="495" spans="14:68" x14ac:dyDescent="0.25">
      <c r="N495" s="11">
        <v>77</v>
      </c>
      <c r="O495" s="51">
        <f t="shared" si="477"/>
        <v>588843.65535558888</v>
      </c>
      <c r="P495" s="49" t="str">
        <f t="shared" si="427"/>
        <v>37.1583961085025</v>
      </c>
      <c r="Q495" s="18" t="str">
        <f t="shared" si="428"/>
        <v>1+2899.95075366142i</v>
      </c>
      <c r="R495" s="18">
        <f t="shared" si="440"/>
        <v>2899.950926078136</v>
      </c>
      <c r="S495" s="18">
        <f t="shared" si="441"/>
        <v>1.5704514933665701</v>
      </c>
      <c r="T495" s="18" t="str">
        <f t="shared" si="429"/>
        <v>1+3.32983242320055i</v>
      </c>
      <c r="U495" s="18">
        <f t="shared" si="442"/>
        <v>3.4767490514268706</v>
      </c>
      <c r="V495" s="18">
        <f t="shared" si="443"/>
        <v>1.2790501875517417</v>
      </c>
      <c r="W495" s="32" t="str">
        <f t="shared" si="430"/>
        <v>1-29.1456686347848i</v>
      </c>
      <c r="X495" s="18">
        <f t="shared" si="444"/>
        <v>29.162818796691763</v>
      </c>
      <c r="Y495" s="18">
        <f t="shared" si="445"/>
        <v>-1.5364993652834453</v>
      </c>
      <c r="Z495" s="32" t="str">
        <f t="shared" si="431"/>
        <v>-7.66842126131329+7.01731351407818i</v>
      </c>
      <c r="AA495" s="18">
        <f t="shared" si="446"/>
        <v>10.394583858713439</v>
      </c>
      <c r="AB495" s="18">
        <f t="shared" si="447"/>
        <v>2.4005015429187226</v>
      </c>
      <c r="AC495" s="32" t="str">
        <f>IMDIV(IMSUM(COMPLEX(0,2*PI()*O495*Constants!$B$61*Constants!$B$62),COMPLEX(1,0)),IMSUM(COMPLEX(0,2*PI()*O495*Constants!$B$61*Constants!$B$62),COMPLEX(2,0)))</f>
        <v>0.991032112186058+0.0663590302455346i</v>
      </c>
      <c r="AD495" s="18">
        <f t="shared" si="448"/>
        <v>0.99325131174294823</v>
      </c>
      <c r="AE495" s="18">
        <f t="shared" si="449"/>
        <v>6.6859711312211315E-2</v>
      </c>
      <c r="AF495" s="66" t="str">
        <f t="shared" si="450"/>
        <v>-0.0649773686246567+0.10577973414479i</v>
      </c>
      <c r="AG495" s="64">
        <f t="shared" si="451"/>
        <v>-18.121576089754534</v>
      </c>
      <c r="AH495" s="61">
        <f t="shared" si="452"/>
        <v>121.56117833070589</v>
      </c>
      <c r="AI495" s="50" t="str">
        <f t="shared" si="432"/>
        <v>107.538871525172</v>
      </c>
      <c r="AJ495" s="50" t="str">
        <f t="shared" si="433"/>
        <v>1+2756.84177894851i</v>
      </c>
      <c r="AK495" s="50">
        <f t="shared" si="453"/>
        <v>2756.8419603154598</v>
      </c>
      <c r="AL495" s="50">
        <f t="shared" si="454"/>
        <v>1.570433592899982</v>
      </c>
      <c r="AM495" s="50" t="str">
        <f t="shared" si="434"/>
        <v>1+3.32983242320055i</v>
      </c>
      <c r="AN495" s="50">
        <f t="shared" si="455"/>
        <v>3.4767490514268706</v>
      </c>
      <c r="AO495" s="50">
        <f t="shared" si="456"/>
        <v>1.2790501875517417</v>
      </c>
      <c r="AP495" s="50" t="str">
        <f t="shared" si="435"/>
        <v>1-9.57384536429971i</v>
      </c>
      <c r="AQ495" s="50">
        <f t="shared" si="457"/>
        <v>9.6259293088783409</v>
      </c>
      <c r="AR495" s="50">
        <f t="shared" si="458"/>
        <v>-1.4667224779931549</v>
      </c>
      <c r="AS495" s="59" t="str">
        <f t="shared" si="459"/>
        <v>-0.243101169896314-1.28264379295453i</v>
      </c>
      <c r="AT495" s="50">
        <f t="shared" si="460"/>
        <v>2.3153923467334177</v>
      </c>
      <c r="AU495" s="61">
        <f t="shared" si="461"/>
        <v>-100.73204705258139</v>
      </c>
      <c r="AV495" s="32" t="str">
        <f t="shared" si="436"/>
        <v>-0.0000333333333333333</v>
      </c>
      <c r="AW495" s="32" t="str">
        <f t="shared" si="437"/>
        <v>0.177591062570696i</v>
      </c>
      <c r="AX495" s="32">
        <f t="shared" si="462"/>
        <v>0.17759106257069601</v>
      </c>
      <c r="AY495" s="32">
        <f t="shared" si="463"/>
        <v>1.5707963267948966</v>
      </c>
      <c r="AZ495" s="32" t="str">
        <f t="shared" si="438"/>
        <v>1+72.4546869863082i</v>
      </c>
      <c r="BA495" s="32">
        <f t="shared" si="464"/>
        <v>72.461587522520503</v>
      </c>
      <c r="BB495" s="32">
        <f t="shared" si="465"/>
        <v>1.5569954734210973</v>
      </c>
      <c r="BC495" s="32" t="str">
        <f t="shared" si="439"/>
        <v>1+3477.8249753428i</v>
      </c>
      <c r="BD495" s="32">
        <f t="shared" si="466"/>
        <v>3477.8251191108143</v>
      </c>
      <c r="BE495" s="32">
        <f t="shared" si="467"/>
        <v>1.5705087907689232</v>
      </c>
      <c r="BF495" s="59" t="str">
        <f t="shared" si="468"/>
        <v>-0.000121732430447094+0.00900778227736546i</v>
      </c>
      <c r="BG495" s="50">
        <f t="shared" si="469"/>
        <v>-40.906849301457513</v>
      </c>
      <c r="BH495" s="61">
        <f t="shared" si="470"/>
        <v>90.774256051251328</v>
      </c>
      <c r="BI495" s="59" t="str">
        <f t="shared" si="471"/>
        <v>-0.000944930961527133-0.000598178813656518i</v>
      </c>
      <c r="BJ495" s="64">
        <f t="shared" si="472"/>
        <v>-59.028425391212053</v>
      </c>
      <c r="BK495" s="61">
        <f t="shared" si="473"/>
        <v>-147.66456561804276</v>
      </c>
      <c r="BL495" s="59" t="str">
        <f t="shared" si="425"/>
        <v>0.0115833693226046-0.00203366306348459i</v>
      </c>
      <c r="BM495" s="64">
        <f t="shared" si="474"/>
        <v>-38.591456954724123</v>
      </c>
      <c r="BN495" s="61">
        <f t="shared" si="426"/>
        <v>-9.9577910013300759</v>
      </c>
      <c r="BO495" s="50">
        <f t="shared" si="475"/>
        <v>-59.028425391212053</v>
      </c>
      <c r="BP495" s="61">
        <f t="shared" si="476"/>
        <v>-147.66456561804276</v>
      </c>
    </row>
    <row r="496" spans="14:68" x14ac:dyDescent="0.25">
      <c r="N496" s="11">
        <v>78</v>
      </c>
      <c r="O496" s="51">
        <f t="shared" si="477"/>
        <v>602559.58607435878</v>
      </c>
      <c r="P496" s="49" t="str">
        <f t="shared" si="427"/>
        <v>37.1583961085025</v>
      </c>
      <c r="Q496" s="18" t="str">
        <f t="shared" si="428"/>
        <v>1+2967.49928418102i</v>
      </c>
      <c r="R496" s="18">
        <f t="shared" si="440"/>
        <v>2967.4994526730525</v>
      </c>
      <c r="S496" s="18">
        <f t="shared" si="441"/>
        <v>1.5704593427331048</v>
      </c>
      <c r="T496" s="18" t="str">
        <f t="shared" si="429"/>
        <v>1+3.40739418413036i</v>
      </c>
      <c r="U496" s="18">
        <f t="shared" si="442"/>
        <v>3.5511033674120784</v>
      </c>
      <c r="V496" s="18">
        <f t="shared" si="443"/>
        <v>1.2853324179255834</v>
      </c>
      <c r="W496" s="32" t="str">
        <f t="shared" si="430"/>
        <v>1-29.8245584693122i</v>
      </c>
      <c r="X496" s="18">
        <f t="shared" si="444"/>
        <v>29.841318467678704</v>
      </c>
      <c r="Y496" s="18">
        <f t="shared" si="445"/>
        <v>-1.5372794680946258</v>
      </c>
      <c r="Z496" s="32" t="str">
        <f t="shared" si="431"/>
        <v>-8.07695136925251+7.18076774359323i</v>
      </c>
      <c r="AA496" s="18">
        <f t="shared" si="446"/>
        <v>10.807431184546077</v>
      </c>
      <c r="AB496" s="18">
        <f t="shared" si="447"/>
        <v>2.414863492170503</v>
      </c>
      <c r="AC496" s="32" t="str">
        <f>IMDIV(IMSUM(COMPLEX(0,2*PI()*O496*Constants!$B$61*Constants!$B$62),COMPLEX(1,0)),IMSUM(COMPLEX(0,2*PI()*O496*Constants!$B$61*Constants!$B$62),COMPLEX(2,0)))</f>
        <v>0.991428814597034+0.0649009050959291i</v>
      </c>
      <c r="AD496" s="18">
        <f t="shared" si="448"/>
        <v>0.99355081495389586</v>
      </c>
      <c r="AE496" s="18">
        <f t="shared" si="449"/>
        <v>6.5368724166515416E-2</v>
      </c>
      <c r="AF496" s="66" t="str">
        <f t="shared" si="450"/>
        <v>-0.0627691839668326+0.104599108056734i</v>
      </c>
      <c r="AG496" s="64">
        <f t="shared" si="451"/>
        <v>-18.273695216723333</v>
      </c>
      <c r="AH496" s="61">
        <f t="shared" si="452"/>
        <v>120.96767093434993</v>
      </c>
      <c r="AI496" s="50" t="str">
        <f t="shared" si="432"/>
        <v>107.538871525172</v>
      </c>
      <c r="AJ496" s="50" t="str">
        <f t="shared" si="433"/>
        <v>1+2821.05687322482i</v>
      </c>
      <c r="AK496" s="50">
        <f t="shared" si="453"/>
        <v>2821.0570504633538</v>
      </c>
      <c r="AL496" s="50">
        <f t="shared" si="454"/>
        <v>1.5704418497307839</v>
      </c>
      <c r="AM496" s="50" t="str">
        <f t="shared" si="434"/>
        <v>1+3.40739418413036i</v>
      </c>
      <c r="AN496" s="50">
        <f t="shared" si="455"/>
        <v>3.5511033674120784</v>
      </c>
      <c r="AO496" s="50">
        <f t="shared" si="456"/>
        <v>1.2853324179255834</v>
      </c>
      <c r="AP496" s="50" t="str">
        <f t="shared" si="435"/>
        <v>1-9.79684887046747i</v>
      </c>
      <c r="AQ496" s="50">
        <f t="shared" si="457"/>
        <v>9.8477534387686472</v>
      </c>
      <c r="AR496" s="50">
        <f t="shared" si="458"/>
        <v>-1.469074992214058</v>
      </c>
      <c r="AS496" s="59" t="str">
        <f t="shared" si="459"/>
        <v>-0.24310180816928-1.31071980058575i</v>
      </c>
      <c r="AT496" s="50">
        <f t="shared" si="460"/>
        <v>2.4970817294445031</v>
      </c>
      <c r="AU496" s="61">
        <f t="shared" si="461"/>
        <v>-100.50736398389078</v>
      </c>
      <c r="AV496" s="32" t="str">
        <f t="shared" si="436"/>
        <v>-0.0000333333333333333</v>
      </c>
      <c r="AW496" s="32" t="str">
        <f t="shared" si="437"/>
        <v>0.181727689820286i</v>
      </c>
      <c r="AX496" s="32">
        <f t="shared" si="462"/>
        <v>0.181727689820286</v>
      </c>
      <c r="AY496" s="32">
        <f t="shared" si="463"/>
        <v>1.5707963267948966</v>
      </c>
      <c r="AZ496" s="32" t="str">
        <f t="shared" si="438"/>
        <v>1+74.1423734509847i</v>
      </c>
      <c r="BA496" s="32">
        <f t="shared" si="464"/>
        <v>74.149116926267453</v>
      </c>
      <c r="BB496" s="32">
        <f t="shared" si="465"/>
        <v>1.5573095806610942</v>
      </c>
      <c r="BC496" s="32" t="str">
        <f t="shared" si="439"/>
        <v>1+3558.83392564727i</v>
      </c>
      <c r="BD496" s="32">
        <f t="shared" si="466"/>
        <v>3558.8340661427246</v>
      </c>
      <c r="BE496" s="32">
        <f t="shared" si="467"/>
        <v>1.5705153358876012</v>
      </c>
      <c r="BF496" s="59" t="str">
        <f t="shared" si="468"/>
        <v>-0.000116254565057832+0.00880281400276712i</v>
      </c>
      <c r="BG496" s="50">
        <f t="shared" si="469"/>
        <v>-41.106812090917586</v>
      </c>
      <c r="BH496" s="61">
        <f t="shared" si="470"/>
        <v>90.756634039761678</v>
      </c>
      <c r="BI496" s="59" t="str">
        <f t="shared" si="471"/>
        <v>-0.00091346928889767-0.000564705575378072i</v>
      </c>
      <c r="BJ496" s="64">
        <f t="shared" si="472"/>
        <v>-59.380507307640912</v>
      </c>
      <c r="BK496" s="61">
        <f t="shared" si="473"/>
        <v>-148.27569502588838</v>
      </c>
      <c r="BL496" s="59" t="str">
        <f t="shared" si="425"/>
        <v>0.0115662843092739-0.00198760284072076i</v>
      </c>
      <c r="BM496" s="64">
        <f t="shared" si="474"/>
        <v>-38.609730361473055</v>
      </c>
      <c r="BN496" s="61">
        <f t="shared" si="426"/>
        <v>-9.7507299441290805</v>
      </c>
      <c r="BO496" s="50">
        <f t="shared" si="475"/>
        <v>-59.380507307640912</v>
      </c>
      <c r="BP496" s="61">
        <f t="shared" si="476"/>
        <v>-148.27569502588838</v>
      </c>
    </row>
    <row r="497" spans="14:68" x14ac:dyDescent="0.25">
      <c r="N497" s="11">
        <v>79</v>
      </c>
      <c r="O497" s="51">
        <f t="shared" si="477"/>
        <v>616595.00186148309</v>
      </c>
      <c r="P497" s="49" t="str">
        <f t="shared" si="427"/>
        <v>37.1583961085025</v>
      </c>
      <c r="Q497" s="18" t="str">
        <f t="shared" si="428"/>
        <v>1+3036.62122210059i</v>
      </c>
      <c r="R497" s="18">
        <f t="shared" si="440"/>
        <v>3036.6213867572756</v>
      </c>
      <c r="S497" s="18">
        <f t="shared" si="441"/>
        <v>1.5704670134262839</v>
      </c>
      <c r="T497" s="18" t="str">
        <f t="shared" si="429"/>
        <v>1+3.4867625905588i</v>
      </c>
      <c r="U497" s="18">
        <f t="shared" si="442"/>
        <v>3.6273286814018268</v>
      </c>
      <c r="V497" s="18">
        <f t="shared" si="443"/>
        <v>1.2914941127470145</v>
      </c>
      <c r="W497" s="32" t="str">
        <f t="shared" si="430"/>
        <v>1-30.5192616795148i</v>
      </c>
      <c r="X497" s="18">
        <f t="shared" si="444"/>
        <v>30.535640380753449</v>
      </c>
      <c r="Y497" s="18">
        <f t="shared" si="445"/>
        <v>-1.5380418530333955</v>
      </c>
      <c r="Z497" s="32" t="str">
        <f t="shared" si="431"/>
        <v>-8.50473490801403+7.34802931121464i</v>
      </c>
      <c r="AA497" s="18">
        <f t="shared" si="446"/>
        <v>11.239397253147603</v>
      </c>
      <c r="AB497" s="18">
        <f t="shared" si="447"/>
        <v>2.4290309594439008</v>
      </c>
      <c r="AC497" s="32" t="str">
        <f>IMDIV(IMSUM(COMPLEX(0,2*PI()*O497*Constants!$B$61*Constants!$B$62),COMPLEX(1,0)),IMSUM(COMPLEX(0,2*PI()*O497*Constants!$B$61*Constants!$B$62),COMPLEX(2,0)))</f>
        <v>0.991808261283621+0.0634725513508967i</v>
      </c>
      <c r="AD497" s="18">
        <f t="shared" si="448"/>
        <v>0.99383720594744884</v>
      </c>
      <c r="AE497" s="18">
        <f t="shared" si="449"/>
        <v>6.3909642242131387E-2</v>
      </c>
      <c r="AF497" s="66" t="str">
        <f t="shared" si="450"/>
        <v>-0.0606135467144662+0.103390778810982i</v>
      </c>
      <c r="AG497" s="64">
        <f t="shared" si="451"/>
        <v>-18.427350290229676</v>
      </c>
      <c r="AH497" s="61">
        <f t="shared" si="452"/>
        <v>120.38125378717821</v>
      </c>
      <c r="AI497" s="50" t="str">
        <f t="shared" si="432"/>
        <v>107.538871525172</v>
      </c>
      <c r="AJ497" s="50" t="str">
        <f t="shared" si="433"/>
        <v>1+2886.76772919642i</v>
      </c>
      <c r="AK497" s="50">
        <f t="shared" si="453"/>
        <v>2886.7679024005124</v>
      </c>
      <c r="AL497" s="50">
        <f t="shared" si="454"/>
        <v>1.5704499186132177</v>
      </c>
      <c r="AM497" s="50" t="str">
        <f t="shared" si="434"/>
        <v>1+3.4867625905588i</v>
      </c>
      <c r="AN497" s="50">
        <f t="shared" si="455"/>
        <v>3.6273286814018268</v>
      </c>
      <c r="AO497" s="50">
        <f t="shared" si="456"/>
        <v>1.2914941127470145</v>
      </c>
      <c r="AP497" s="50" t="str">
        <f t="shared" si="435"/>
        <v>1-10.025046795583i</v>
      </c>
      <c r="AQ497" s="50">
        <f t="shared" si="457"/>
        <v>10.074798422481164</v>
      </c>
      <c r="AR497" s="50">
        <f t="shared" si="458"/>
        <v>-1.4713750489142206</v>
      </c>
      <c r="AS497" s="59" t="str">
        <f t="shared" si="459"/>
        <v>-0.243102417715237-1.33949076918431i</v>
      </c>
      <c r="AT497" s="50">
        <f t="shared" si="460"/>
        <v>2.6795376484248234</v>
      </c>
      <c r="AU497" s="61">
        <f t="shared" si="461"/>
        <v>-100.28657073044405</v>
      </c>
      <c r="AV497" s="32" t="str">
        <f t="shared" si="436"/>
        <v>-0.0000333333333333333</v>
      </c>
      <c r="AW497" s="32" t="str">
        <f t="shared" si="437"/>
        <v>0.185960671496469i</v>
      </c>
      <c r="AX497" s="32">
        <f t="shared" si="462"/>
        <v>0.185960671496469</v>
      </c>
      <c r="AY497" s="32">
        <f t="shared" si="463"/>
        <v>1.5707963267948966</v>
      </c>
      <c r="AZ497" s="32" t="str">
        <f t="shared" si="438"/>
        <v>1+75.8693711834554i</v>
      </c>
      <c r="BA497" s="32">
        <f t="shared" si="464"/>
        <v>75.87596117198737</v>
      </c>
      <c r="BB497" s="32">
        <f t="shared" si="465"/>
        <v>1.5576165405191396</v>
      </c>
      <c r="BC497" s="32" t="str">
        <f t="shared" si="439"/>
        <v>1+3641.72981680586i</v>
      </c>
      <c r="BD497" s="32">
        <f t="shared" si="466"/>
        <v>3641.7299541032476</v>
      </c>
      <c r="BE497" s="32">
        <f t="shared" si="467"/>
        <v>1.5705217320212121</v>
      </c>
      <c r="BF497" s="59" t="str">
        <f t="shared" si="468"/>
        <v>-0.000111023156557676+0.00860250644549359i</v>
      </c>
      <c r="BG497" s="50">
        <f t="shared" si="469"/>
        <v>-41.306776554829916</v>
      </c>
      <c r="BH497" s="61">
        <f t="shared" si="470"/>
        <v>90.739413006876859</v>
      </c>
      <c r="BI497" s="59" t="str">
        <f t="shared" si="471"/>
        <v>-0.000882690333839679-0.000532907196917974i</v>
      </c>
      <c r="BJ497" s="64">
        <f t="shared" si="472"/>
        <v>-59.734126845059585</v>
      </c>
      <c r="BK497" s="61">
        <f t="shared" si="473"/>
        <v>-148.87933320594493</v>
      </c>
      <c r="BL497" s="59" t="str">
        <f t="shared" si="425"/>
        <v>0.0115499679733687-0.00194257562193569i</v>
      </c>
      <c r="BM497" s="64">
        <f t="shared" si="474"/>
        <v>-38.627238906405125</v>
      </c>
      <c r="BN497" s="61">
        <f t="shared" si="426"/>
        <v>-9.5471577235672331</v>
      </c>
      <c r="BO497" s="50">
        <f t="shared" si="475"/>
        <v>-59.734126845059585</v>
      </c>
      <c r="BP497" s="61">
        <f t="shared" si="476"/>
        <v>-148.87933320594493</v>
      </c>
    </row>
    <row r="498" spans="14:68" x14ac:dyDescent="0.25">
      <c r="N498" s="11">
        <v>80</v>
      </c>
      <c r="O498" s="51">
        <f t="shared" si="477"/>
        <v>630957.34448019415</v>
      </c>
      <c r="P498" s="49" t="str">
        <f t="shared" si="427"/>
        <v>37.1583961085025</v>
      </c>
      <c r="Q498" s="18" t="str">
        <f t="shared" si="428"/>
        <v>1+3107.35321678655i</v>
      </c>
      <c r="R498" s="18">
        <f t="shared" si="440"/>
        <v>3107.3533776951922</v>
      </c>
      <c r="S498" s="18">
        <f t="shared" si="441"/>
        <v>1.5704745095132062</v>
      </c>
      <c r="T498" s="18" t="str">
        <f t="shared" si="429"/>
        <v>1+3.5679797246655i</v>
      </c>
      <c r="U498" s="18">
        <f t="shared" si="442"/>
        <v>3.7054661401265152</v>
      </c>
      <c r="V498" s="18">
        <f t="shared" si="443"/>
        <v>1.2975366668054775</v>
      </c>
      <c r="W498" s="32" t="str">
        <f t="shared" si="430"/>
        <v>1-31.23014660623i</v>
      </c>
      <c r="X498" s="18">
        <f t="shared" si="444"/>
        <v>31.246152675915468</v>
      </c>
      <c r="Y498" s="18">
        <f t="shared" si="445"/>
        <v>-1.5387869207793412</v>
      </c>
      <c r="Z498" s="32" t="str">
        <f t="shared" si="431"/>
        <v>-8.95267926383741+7.51918690123951i</v>
      </c>
      <c r="AA498" s="18">
        <f t="shared" si="446"/>
        <v>11.691391604805485</v>
      </c>
      <c r="AB498" s="18">
        <f t="shared" si="447"/>
        <v>2.4430024925382106</v>
      </c>
      <c r="AC498" s="32" t="str">
        <f>IMDIV(IMSUM(COMPLEX(0,2*PI()*O498*Constants!$B$61*Constants!$B$62),COMPLEX(1,0)),IMSUM(COMPLEX(0,2*PI()*O498*Constants!$B$61*Constants!$B$62),COMPLEX(2,0)))</f>
        <v>0.992171177458107+0.0620735113277337i</v>
      </c>
      <c r="AD498" s="18">
        <f t="shared" si="448"/>
        <v>0.99411104318741017</v>
      </c>
      <c r="AE498" s="18">
        <f t="shared" si="449"/>
        <v>6.2481871777836116E-2</v>
      </c>
      <c r="AF498" s="66" t="str">
        <f t="shared" si="450"/>
        <v>-0.0585106527034437+0.102156954340102i</v>
      </c>
      <c r="AG498" s="64">
        <f t="shared" si="451"/>
        <v>-18.582511900498332</v>
      </c>
      <c r="AH498" s="61">
        <f t="shared" si="452"/>
        <v>119.80203279942123</v>
      </c>
      <c r="AI498" s="50" t="str">
        <f t="shared" si="432"/>
        <v>107.538871525172</v>
      </c>
      <c r="AJ498" s="50" t="str">
        <f t="shared" si="433"/>
        <v>1+2954.00918762891i</v>
      </c>
      <c r="AK498" s="50">
        <f t="shared" si="453"/>
        <v>2954.0093568903962</v>
      </c>
      <c r="AL498" s="50">
        <f t="shared" si="454"/>
        <v>1.5704578038255068</v>
      </c>
      <c r="AM498" s="50" t="str">
        <f t="shared" si="434"/>
        <v>1+3.5679797246655i</v>
      </c>
      <c r="AN498" s="50">
        <f t="shared" si="455"/>
        <v>3.7054661401265152</v>
      </c>
      <c r="AO498" s="50">
        <f t="shared" si="456"/>
        <v>1.2975366668054775</v>
      </c>
      <c r="AP498" s="50" t="str">
        <f t="shared" si="435"/>
        <v>1-10.2585601332067i</v>
      </c>
      <c r="AQ498" s="50">
        <f t="shared" si="457"/>
        <v>10.307184678980866</v>
      </c>
      <c r="AR498" s="50">
        <f t="shared" si="458"/>
        <v>-1.4736237702176034</v>
      </c>
      <c r="AS498" s="59" t="str">
        <f t="shared" si="459"/>
        <v>-0.243102999827114-1.36897195349993i</v>
      </c>
      <c r="AT498" s="50">
        <f t="shared" si="460"/>
        <v>2.8627302984249647</v>
      </c>
      <c r="AU498" s="61">
        <f t="shared" si="461"/>
        <v>-100.06965191478422</v>
      </c>
      <c r="AV498" s="32" t="str">
        <f t="shared" si="436"/>
        <v>-0.0000333333333333333</v>
      </c>
      <c r="AW498" s="32" t="str">
        <f t="shared" si="437"/>
        <v>0.19029225198216i</v>
      </c>
      <c r="AX498" s="32">
        <f t="shared" si="462"/>
        <v>0.19029225198215999</v>
      </c>
      <c r="AY498" s="32">
        <f t="shared" si="463"/>
        <v>1.5707963267948966</v>
      </c>
      <c r="AZ498" s="32" t="str">
        <f t="shared" si="438"/>
        <v>1+77.6365958607771i</v>
      </c>
      <c r="BA498" s="32">
        <f t="shared" si="464"/>
        <v>77.643035855443173</v>
      </c>
      <c r="BB498" s="32">
        <f t="shared" si="465"/>
        <v>1.5579165155178956</v>
      </c>
      <c r="BC498" s="32" t="str">
        <f t="shared" si="439"/>
        <v>1+3726.55660131731i</v>
      </c>
      <c r="BD498" s="32">
        <f t="shared" si="466"/>
        <v>3726.5567354894283</v>
      </c>
      <c r="BE498" s="32">
        <f t="shared" si="467"/>
        <v>1.5705279825610687</v>
      </c>
      <c r="BF498" s="59" t="str">
        <f t="shared" si="468"/>
        <v>-0.000106027120271099+0.00840675384361159i</v>
      </c>
      <c r="BG498" s="50">
        <f t="shared" si="469"/>
        <v>-41.506742617857981</v>
      </c>
      <c r="BH498" s="61">
        <f t="shared" si="470"/>
        <v>90.722583835042144</v>
      </c>
      <c r="BI498" s="59" t="str">
        <f t="shared" si="471"/>
        <v>-0.000852604652538978-0.000502716062191245i</v>
      </c>
      <c r="BJ498" s="64">
        <f t="shared" si="472"/>
        <v>-60.089254518356306</v>
      </c>
      <c r="BK498" s="61">
        <f t="shared" si="473"/>
        <v>-149.47538336553666</v>
      </c>
      <c r="BL498" s="59" t="str">
        <f t="shared" ref="BL498:BL560" si="478">IMPRODUCT(AS498,BF498)</f>
        <v>0.0115343857428829-0.0018985589242286i</v>
      </c>
      <c r="BM498" s="64">
        <f t="shared" si="474"/>
        <v>-38.644012319433038</v>
      </c>
      <c r="BN498" s="61">
        <f t="shared" ref="BN498:BN560" si="479">(180/PI())*IMARGUMENT(BL498)</f>
        <v>-9.3470680797421029</v>
      </c>
      <c r="BO498" s="50">
        <f t="shared" si="475"/>
        <v>-60.089254518356306</v>
      </c>
      <c r="BP498" s="61">
        <f t="shared" si="476"/>
        <v>-149.47538336553666</v>
      </c>
    </row>
    <row r="499" spans="14:68" x14ac:dyDescent="0.25">
      <c r="N499" s="11">
        <v>81</v>
      </c>
      <c r="O499" s="51">
        <f t="shared" si="477"/>
        <v>645654.22903465747</v>
      </c>
      <c r="P499" s="49" t="str">
        <f t="shared" si="427"/>
        <v>37.1583961085025</v>
      </c>
      <c r="Q499" s="18" t="str">
        <f t="shared" si="428"/>
        <v>1+3179.73277127874i</v>
      </c>
      <c r="R499" s="18">
        <f t="shared" si="440"/>
        <v>3179.7329285246547</v>
      </c>
      <c r="S499" s="18">
        <f t="shared" si="441"/>
        <v>1.5704818349683933</v>
      </c>
      <c r="T499" s="18" t="str">
        <f t="shared" si="429"/>
        <v>1+3.65108864885003i</v>
      </c>
      <c r="U499" s="18">
        <f t="shared" si="442"/>
        <v>3.785557861367534</v>
      </c>
      <c r="V499" s="18">
        <f t="shared" si="443"/>
        <v>1.3034615182234854</v>
      </c>
      <c r="W499" s="32" t="str">
        <f t="shared" si="430"/>
        <v>1-31.9575901700558i</v>
      </c>
      <c r="X499" s="18">
        <f t="shared" si="444"/>
        <v>31.973232077430755</v>
      </c>
      <c r="Y499" s="18">
        <f t="shared" si="445"/>
        <v>-1.5395150630665009</v>
      </c>
      <c r="Z499" s="32" t="str">
        <f t="shared" si="431"/>
        <v>-9.4217345867584+7.69433126368764i</v>
      </c>
      <c r="AA499" s="18">
        <f t="shared" si="446"/>
        <v>12.164366659168101</v>
      </c>
      <c r="AB499" s="18">
        <f t="shared" si="447"/>
        <v>2.4567768398736565</v>
      </c>
      <c r="AC499" s="32" t="str">
        <f>IMDIV(IMSUM(COMPLEX(0,2*PI()*O499*Constants!$B$61*Constants!$B$62),COMPLEX(1,0)),IMSUM(COMPLEX(0,2*PI()*O499*Constants!$B$61*Constants!$B$62),COMPLEX(2,0)))</f>
        <v>0.992518260057405+0.0607033239512382i</v>
      </c>
      <c r="AD499" s="18">
        <f t="shared" si="448"/>
        <v>0.99437286270599101</v>
      </c>
      <c r="AE499" s="18">
        <f t="shared" si="449"/>
        <v>6.1084824032288418E-2</v>
      </c>
      <c r="AF499" s="66" t="str">
        <f t="shared" si="450"/>
        <v>-0.0564605978487161+0.100899814869155i</v>
      </c>
      <c r="AG499" s="64">
        <f t="shared" si="451"/>
        <v>-18.739149887140076</v>
      </c>
      <c r="AH499" s="61">
        <f t="shared" si="452"/>
        <v>119.23010567484428</v>
      </c>
      <c r="AI499" s="50" t="str">
        <f t="shared" si="432"/>
        <v>107.538871525172</v>
      </c>
      <c r="AJ499" s="50" t="str">
        <f t="shared" si="433"/>
        <v>1+3022.81690083364i</v>
      </c>
      <c r="AK499" s="50">
        <f t="shared" si="453"/>
        <v>3022.8170662422649</v>
      </c>
      <c r="AL499" s="50">
        <f t="shared" si="454"/>
        <v>1.5704655095484916</v>
      </c>
      <c r="AM499" s="50" t="str">
        <f t="shared" si="434"/>
        <v>1+3.65108864885003i</v>
      </c>
      <c r="AN499" s="50">
        <f t="shared" si="455"/>
        <v>3.785557861367534</v>
      </c>
      <c r="AO499" s="50">
        <f t="shared" si="456"/>
        <v>1.3034615182234854</v>
      </c>
      <c r="AP499" s="50" t="str">
        <f t="shared" si="435"/>
        <v>1-10.4975126952012i</v>
      </c>
      <c r="AQ499" s="50">
        <f t="shared" si="457"/>
        <v>10.545035456835144</v>
      </c>
      <c r="AR499" s="50">
        <f t="shared" si="458"/>
        <v>-1.4758222574063213</v>
      </c>
      <c r="AS499" s="59" t="str">
        <f t="shared" si="459"/>
        <v>-0.243103555739647-1.39917898484805i</v>
      </c>
      <c r="AT499" s="50">
        <f t="shared" si="460"/>
        <v>3.0466308471193706</v>
      </c>
      <c r="AU499" s="61">
        <f t="shared" si="461"/>
        <v>-99.856588476922468</v>
      </c>
      <c r="AV499" s="32" t="str">
        <f t="shared" si="436"/>
        <v>-0.0000333333333333333</v>
      </c>
      <c r="AW499" s="32" t="str">
        <f t="shared" si="437"/>
        <v>0.194724727938668i</v>
      </c>
      <c r="AX499" s="32">
        <f t="shared" si="462"/>
        <v>0.19472472793866799</v>
      </c>
      <c r="AY499" s="32">
        <f t="shared" si="463"/>
        <v>1.5707963267948966</v>
      </c>
      <c r="AZ499" s="32" t="str">
        <f t="shared" si="438"/>
        <v>1+79.4449844888664i</v>
      </c>
      <c r="BA499" s="32">
        <f t="shared" si="464"/>
        <v>79.451277903103758</v>
      </c>
      <c r="BB499" s="32">
        <f t="shared" si="465"/>
        <v>1.5582096644920076</v>
      </c>
      <c r="BC499" s="32" t="str">
        <f t="shared" si="439"/>
        <v>1+3813.35925546559i</v>
      </c>
      <c r="BD499" s="32">
        <f t="shared" si="466"/>
        <v>3813.3593865835778</v>
      </c>
      <c r="BE499" s="32">
        <f t="shared" si="467"/>
        <v>1.5705340908212877</v>
      </c>
      <c r="BF499" s="59" t="str">
        <f t="shared" si="468"/>
        <v>-0.000101255869736861+0.00821545282068132i</v>
      </c>
      <c r="BG499" s="50">
        <f t="shared" si="469"/>
        <v>-41.706710208053664</v>
      </c>
      <c r="BH499" s="61">
        <f t="shared" si="470"/>
        <v>90.706137613587657</v>
      </c>
      <c r="BI499" s="59" t="str">
        <f t="shared" si="471"/>
        <v>-0.000823220701731988-0.000474066076364453i</v>
      </c>
      <c r="BJ499" s="64">
        <f t="shared" si="472"/>
        <v>-60.445860095193744</v>
      </c>
      <c r="BK499" s="61">
        <f t="shared" si="473"/>
        <v>-150.06375671156806</v>
      </c>
      <c r="BL499" s="59" t="str">
        <f t="shared" si="478"/>
        <v>0.0115195045996805-0.00185553070769061i</v>
      </c>
      <c r="BM499" s="64">
        <f t="shared" si="474"/>
        <v>-38.660079360934283</v>
      </c>
      <c r="BN499" s="61">
        <f t="shared" si="479"/>
        <v>-9.1504508633347807</v>
      </c>
      <c r="BO499" s="50">
        <f t="shared" si="475"/>
        <v>-60.445860095193744</v>
      </c>
      <c r="BP499" s="61">
        <f t="shared" si="476"/>
        <v>-150.06375671156806</v>
      </c>
    </row>
    <row r="500" spans="14:68" x14ac:dyDescent="0.25">
      <c r="N500" s="11">
        <v>82</v>
      </c>
      <c r="O500" s="51">
        <f t="shared" si="477"/>
        <v>660693.44800759677</v>
      </c>
      <c r="P500" s="49" t="str">
        <f t="shared" si="427"/>
        <v>37.1583961085025</v>
      </c>
      <c r="Q500" s="18" t="str">
        <f t="shared" si="428"/>
        <v>1+3253.798262175i</v>
      </c>
      <c r="R500" s="18">
        <f t="shared" si="440"/>
        <v>3253.7984158415611</v>
      </c>
      <c r="S500" s="18">
        <f t="shared" si="441"/>
        <v>1.5704889936758952</v>
      </c>
      <c r="T500" s="18" t="str">
        <f t="shared" si="429"/>
        <v>1+3.73613342856404i</v>
      </c>
      <c r="U500" s="18">
        <f t="shared" si="442"/>
        <v>3.8676469585568025</v>
      </c>
      <c r="V500" s="18">
        <f t="shared" si="443"/>
        <v>1.3092701438905969</v>
      </c>
      <c r="W500" s="32" t="str">
        <f t="shared" si="430"/>
        <v>1-32.7019780711984i</v>
      </c>
      <c r="X500" s="18">
        <f t="shared" si="444"/>
        <v>32.71726409358125</v>
      </c>
      <c r="Y500" s="18">
        <f t="shared" si="445"/>
        <v>-1.5402266628753498</v>
      </c>
      <c r="Z500" s="32" t="str">
        <f t="shared" si="431"/>
        <v>-9.9128958060041+7.87355526241827i</v>
      </c>
      <c r="AA500" s="18">
        <f t="shared" si="446"/>
        <v>12.659319718335899</v>
      </c>
      <c r="AB500" s="18">
        <f t="shared" si="447"/>
        <v>2.4703529487651537</v>
      </c>
      <c r="AC500" s="32" t="str">
        <f>IMDIV(IMSUM(COMPLEX(0,2*PI()*O500*Constants!$B$61*Constants!$B$62),COMPLEX(1,0)),IMSUM(COMPLEX(0,2*PI()*O500*Constants!$B$61*Constants!$B$62),COMPLEX(2,0)))</f>
        <v>0.992850178651731+0.0593615256611753i</v>
      </c>
      <c r="AD500" s="18">
        <f t="shared" si="448"/>
        <v>0.99462317888615304</v>
      </c>
      <c r="AE500" s="18">
        <f t="shared" si="449"/>
        <v>5.9717915700031717E-2</v>
      </c>
      <c r="AF500" s="66" t="str">
        <f t="shared" si="450"/>
        <v>-0.054463381209371+0.0996215072959922i</v>
      </c>
      <c r="AG500" s="64">
        <f t="shared" si="451"/>
        <v>-18.897233433681315</v>
      </c>
      <c r="AH500" s="61">
        <f t="shared" si="452"/>
        <v>118.66556176075278</v>
      </c>
      <c r="AI500" s="50" t="str">
        <f t="shared" si="432"/>
        <v>107.538871525172</v>
      </c>
      <c r="AJ500" s="50" t="str">
        <f t="shared" si="433"/>
        <v>1+3093.22735157088i</v>
      </c>
      <c r="AK500" s="50">
        <f t="shared" si="453"/>
        <v>3093.2275132143445</v>
      </c>
      <c r="AL500" s="50">
        <f t="shared" si="454"/>
        <v>1.5704730398678448</v>
      </c>
      <c r="AM500" s="50" t="str">
        <f t="shared" si="434"/>
        <v>1+3.73613342856404i</v>
      </c>
      <c r="AN500" s="50">
        <f t="shared" si="455"/>
        <v>3.8676469585568025</v>
      </c>
      <c r="AO500" s="50">
        <f t="shared" si="456"/>
        <v>1.3092701438905969</v>
      </c>
      <c r="AP500" s="50" t="str">
        <f t="shared" si="435"/>
        <v>1-10.7420311773776i</v>
      </c>
      <c r="AQ500" s="50">
        <f t="shared" si="457"/>
        <v>10.788476899718161</v>
      </c>
      <c r="AR500" s="50">
        <f t="shared" si="458"/>
        <v>-1.4779715910922067</v>
      </c>
      <c r="AS500" s="59" t="str">
        <f t="shared" si="459"/>
        <v>-0.243104086631999-1.43012787939769i</v>
      </c>
      <c r="AT500" s="50">
        <f t="shared" si="460"/>
        <v>3.231211418532181</v>
      </c>
      <c r="AU500" s="61">
        <f t="shared" si="461"/>
        <v>-99.647357945909476</v>
      </c>
      <c r="AV500" s="32" t="str">
        <f t="shared" si="436"/>
        <v>-0.0000333333333333333</v>
      </c>
      <c r="AW500" s="32" t="str">
        <f t="shared" si="437"/>
        <v>0.199260449523415i</v>
      </c>
      <c r="AX500" s="32">
        <f t="shared" si="462"/>
        <v>0.19926044952341501</v>
      </c>
      <c r="AY500" s="32">
        <f t="shared" si="463"/>
        <v>1.5707963267948966</v>
      </c>
      <c r="AZ500" s="32" t="str">
        <f t="shared" si="438"/>
        <v>1+81.2954958993101i</v>
      </c>
      <c r="BA500" s="32">
        <f t="shared" si="464"/>
        <v>81.301646068912675</v>
      </c>
      <c r="BB500" s="32">
        <f t="shared" si="465"/>
        <v>1.5584961426712891</v>
      </c>
      <c r="BC500" s="32" t="str">
        <f t="shared" si="439"/>
        <v>1+3902.18380316689i</v>
      </c>
      <c r="BD500" s="32">
        <f t="shared" si="466"/>
        <v>3902.1839313002679</v>
      </c>
      <c r="BE500" s="32">
        <f t="shared" si="467"/>
        <v>1.5705400600405481</v>
      </c>
      <c r="BF500" s="59" t="str">
        <f t="shared" si="468"/>
        <v>-0.0000966992943443239+0.00802850233291919i</v>
      </c>
      <c r="BG500" s="50">
        <f t="shared" si="469"/>
        <v>-41.906679256704827</v>
      </c>
      <c r="BH500" s="61">
        <f t="shared" si="470"/>
        <v>90.690065634062847</v>
      </c>
      <c r="BI500" s="59" t="str">
        <f t="shared" si="471"/>
        <v>-0.000794544933204247-0.000446892712555143i</v>
      </c>
      <c r="BJ500" s="64">
        <f t="shared" si="472"/>
        <v>-60.803912690386142</v>
      </c>
      <c r="BK500" s="61">
        <f t="shared" si="473"/>
        <v>-150.64437260518432</v>
      </c>
      <c r="BL500" s="59" t="str">
        <f t="shared" si="478"/>
        <v>0.0115052930097467-0.00181346936990729i</v>
      </c>
      <c r="BM500" s="64">
        <f t="shared" si="474"/>
        <v>-38.675467838172615</v>
      </c>
      <c r="BN500" s="61">
        <f t="shared" si="479"/>
        <v>-8.9572923118465972</v>
      </c>
      <c r="BO500" s="50">
        <f t="shared" si="475"/>
        <v>-60.803912690386142</v>
      </c>
      <c r="BP500" s="61">
        <f t="shared" si="476"/>
        <v>-150.64437260518432</v>
      </c>
    </row>
    <row r="501" spans="14:68" x14ac:dyDescent="0.25">
      <c r="N501" s="11">
        <v>83</v>
      </c>
      <c r="O501" s="51">
        <f t="shared" si="477"/>
        <v>676082.97539198259</v>
      </c>
      <c r="P501" s="49" t="str">
        <f t="shared" si="427"/>
        <v>37.1583961085025</v>
      </c>
      <c r="Q501" s="18" t="str">
        <f t="shared" si="428"/>
        <v>1+3329.58895997897i</v>
      </c>
      <c r="R501" s="18">
        <f t="shared" si="440"/>
        <v>3329.5891101476527</v>
      </c>
      <c r="S501" s="18">
        <f t="shared" si="441"/>
        <v>1.5704959894313504</v>
      </c>
      <c r="T501" s="18" t="str">
        <f t="shared" si="429"/>
        <v>1+3.82315915567545i</v>
      </c>
      <c r="U501" s="18">
        <f t="shared" si="442"/>
        <v>3.9517775658082042</v>
      </c>
      <c r="V501" s="18">
        <f t="shared" si="443"/>
        <v>1.3149640551106017</v>
      </c>
      <c r="W501" s="32" t="str">
        <f t="shared" si="430"/>
        <v>1-33.4637049939762i</v>
      </c>
      <c r="X501" s="18">
        <f t="shared" si="444"/>
        <v>33.478643221072559</v>
      </c>
      <c r="Y501" s="18">
        <f t="shared" si="445"/>
        <v>-1.5409220946211903</v>
      </c>
      <c r="Z501" s="32" t="str">
        <f t="shared" si="431"/>
        <v>-10.4272047403719+8.05695392436787i</v>
      </c>
      <c r="AA501" s="18">
        <f t="shared" si="446"/>
        <v>13.177295065263623</v>
      </c>
      <c r="AB501" s="18">
        <f t="shared" si="447"/>
        <v>2.4837299630163145</v>
      </c>
      <c r="AC501" s="32" t="str">
        <f>IMDIV(IMSUM(COMPLEX(0,2*PI()*O501*Constants!$B$61*Constants!$B$62),COMPLEX(1,0)),IMSUM(COMPLEX(0,2*PI()*O501*Constants!$B$61*Constants!$B$62),COMPLEX(2,0)))</f>
        <v>0.993167576341903+0.058047651253129i</v>
      </c>
      <c r="AD501" s="18">
        <f t="shared" si="448"/>
        <v>0.99486248522740817</v>
      </c>
      <c r="AE501" s="18">
        <f t="shared" si="449"/>
        <v>5.8380569286485155E-2</v>
      </c>
      <c r="AF501" s="66" t="str">
        <f t="shared" si="450"/>
        <v>-0.0525189084426952+0.0983241399339186i</v>
      </c>
      <c r="AG501" s="64">
        <f t="shared" si="451"/>
        <v>-19.056731160957014</v>
      </c>
      <c r="AH501" s="61">
        <f t="shared" si="452"/>
        <v>118.10848194702207</v>
      </c>
      <c r="AI501" s="50" t="str">
        <f t="shared" si="432"/>
        <v>107.538871525172</v>
      </c>
      <c r="AJ501" s="50" t="str">
        <f t="shared" si="433"/>
        <v>1+3165.27787239364i</v>
      </c>
      <c r="AK501" s="50">
        <f t="shared" si="453"/>
        <v>3165.2780303576506</v>
      </c>
      <c r="AL501" s="50">
        <f t="shared" si="454"/>
        <v>1.5704803987762379</v>
      </c>
      <c r="AM501" s="50" t="str">
        <f t="shared" si="434"/>
        <v>1+3.82315915567545i</v>
      </c>
      <c r="AN501" s="50">
        <f t="shared" si="455"/>
        <v>3.9517775658082042</v>
      </c>
      <c r="AO501" s="50">
        <f t="shared" si="456"/>
        <v>1.3149640551106017</v>
      </c>
      <c r="AP501" s="50" t="str">
        <f t="shared" si="435"/>
        <v>1-10.9922452266718i</v>
      </c>
      <c r="AQ501" s="50">
        <f t="shared" si="457"/>
        <v>11.037638113441162</v>
      </c>
      <c r="AR501" s="50">
        <f t="shared" si="458"/>
        <v>-1.4800728314035299</v>
      </c>
      <c r="AS501" s="59" t="str">
        <f t="shared" si="459"/>
        <v>-0.243104593630261-1.4618350466635i</v>
      </c>
      <c r="AT501" s="50">
        <f t="shared" si="460"/>
        <v>3.4164450754052709</v>
      </c>
      <c r="AU501" s="61">
        <f t="shared" si="461"/>
        <v>-99.441934700055356</v>
      </c>
      <c r="AV501" s="32" t="str">
        <f t="shared" si="436"/>
        <v>-0.0000333333333333333</v>
      </c>
      <c r="AW501" s="32" t="str">
        <f t="shared" si="437"/>
        <v>0.203901821636024i</v>
      </c>
      <c r="AX501" s="32">
        <f t="shared" si="462"/>
        <v>0.20390182163602399</v>
      </c>
      <c r="AY501" s="32">
        <f t="shared" si="463"/>
        <v>1.5707963267948966</v>
      </c>
      <c r="AZ501" s="32" t="str">
        <f t="shared" si="438"/>
        <v>1+83.1891112577528i</v>
      </c>
      <c r="BA501" s="32">
        <f t="shared" si="464"/>
        <v>83.195121442634928</v>
      </c>
      <c r="BB501" s="32">
        <f t="shared" si="465"/>
        <v>1.5587761017620649</v>
      </c>
      <c r="BC501" s="32" t="str">
        <f t="shared" si="439"/>
        <v>1+3993.07734037214i</v>
      </c>
      <c r="BD501" s="32">
        <f t="shared" si="466"/>
        <v>3993.0774655888467</v>
      </c>
      <c r="BE501" s="32">
        <f t="shared" si="467"/>
        <v>1.570545893383807</v>
      </c>
      <c r="BF501" s="59" t="str">
        <f t="shared" si="468"/>
        <v>-0.0000923477379710479+0.00784580361746536i</v>
      </c>
      <c r="BG501" s="50">
        <f t="shared" si="469"/>
        <v>-42.106649698190083</v>
      </c>
      <c r="BH501" s="61">
        <f t="shared" si="470"/>
        <v>90.674359385674251</v>
      </c>
      <c r="BI501" s="59" t="str">
        <f t="shared" si="471"/>
        <v>-0.000766581890382317-0.000421133053755876i</v>
      </c>
      <c r="BJ501" s="64">
        <f t="shared" si="472"/>
        <v>-61.163380859147097</v>
      </c>
      <c r="BK501" s="61">
        <f t="shared" si="473"/>
        <v>-151.21715866730369</v>
      </c>
      <c r="BL501" s="59" t="str">
        <f t="shared" si="478"/>
        <v>0.0114917208565623-0.00177235374028057i</v>
      </c>
      <c r="BM501" s="64">
        <f t="shared" si="474"/>
        <v>-38.690204622784783</v>
      </c>
      <c r="BN501" s="61">
        <f t="shared" si="479"/>
        <v>-8.7675753143810535</v>
      </c>
      <c r="BO501" s="50">
        <f t="shared" si="475"/>
        <v>-61.163380859147097</v>
      </c>
      <c r="BP501" s="61">
        <f t="shared" si="476"/>
        <v>-151.21715866730369</v>
      </c>
    </row>
    <row r="502" spans="14:68" x14ac:dyDescent="0.25">
      <c r="N502" s="11">
        <v>84</v>
      </c>
      <c r="O502" s="51">
        <f t="shared" si="477"/>
        <v>691830.97091893724</v>
      </c>
      <c r="P502" s="49" t="str">
        <f t="shared" si="427"/>
        <v>37.1583961085025</v>
      </c>
      <c r="Q502" s="18" t="str">
        <f t="shared" si="428"/>
        <v>1+3407.14504992184i</v>
      </c>
      <c r="R502" s="18">
        <f t="shared" si="440"/>
        <v>3407.1451966722661</v>
      </c>
      <c r="S502" s="18">
        <f t="shared" si="441"/>
        <v>1.5705028259439984</v>
      </c>
      <c r="T502" s="18" t="str">
        <f t="shared" si="429"/>
        <v>1+3.91221197237669i</v>
      </c>
      <c r="U502" s="18">
        <f t="shared" si="442"/>
        <v>4.0379948633953848</v>
      </c>
      <c r="V502" s="18">
        <f t="shared" si="443"/>
        <v>1.3205447934604631</v>
      </c>
      <c r="W502" s="32" t="str">
        <f t="shared" si="430"/>
        <v>1-34.2431748160863i</v>
      </c>
      <c r="X502" s="18">
        <f t="shared" si="444"/>
        <v>34.257773154206149</v>
      </c>
      <c r="Y502" s="18">
        <f t="shared" si="445"/>
        <v>-1.541601724338973</v>
      </c>
      <c r="Z502" s="32" t="str">
        <f t="shared" si="431"/>
        <v>-10.965752308066+8.24462448993456i</v>
      </c>
      <c r="AA502" s="18">
        <f t="shared" si="446"/>
        <v>13.719386161992944</v>
      </c>
      <c r="AB502" s="18">
        <f t="shared" si="447"/>
        <v>2.4969072198774085</v>
      </c>
      <c r="AC502" s="32" t="str">
        <f>IMDIV(IMSUM(COMPLEX(0,2*PI()*O502*Constants!$B$61*Constants!$B$62),COMPLEX(1,0)),IMSUM(COMPLEX(0,2*PI()*O502*Constants!$B$61*Constants!$B$62),COMPLEX(2,0)))</f>
        <v>0.993471070643482+0.0567612346563787i</v>
      </c>
      <c r="AD502" s="18">
        <f t="shared" si="448"/>
        <v>0.99509125509433694</v>
      </c>
      <c r="AE502" s="18">
        <f t="shared" si="449"/>
        <v>5.7072213444575887E-2</v>
      </c>
      <c r="AF502" s="66" t="str">
        <f t="shared" si="450"/>
        <v>-0.0506269956003814+0.0970097776425818i</v>
      </c>
      <c r="AG502" s="64">
        <f t="shared" si="451"/>
        <v>-19.217611218808226</v>
      </c>
      <c r="AH502" s="61">
        <f t="shared" si="452"/>
        <v>117.55893861171083</v>
      </c>
      <c r="AI502" s="50" t="str">
        <f t="shared" si="432"/>
        <v>107.538871525172</v>
      </c>
      <c r="AJ502" s="50" t="str">
        <f t="shared" si="433"/>
        <v>1+3239.00666544175i</v>
      </c>
      <c r="AK502" s="50">
        <f t="shared" si="453"/>
        <v>3239.0068198100612</v>
      </c>
      <c r="AL502" s="50">
        <f t="shared" si="454"/>
        <v>1.570487590175458</v>
      </c>
      <c r="AM502" s="50" t="str">
        <f t="shared" si="434"/>
        <v>1+3.91221197237669i</v>
      </c>
      <c r="AN502" s="50">
        <f t="shared" si="455"/>
        <v>4.0379948633953848</v>
      </c>
      <c r="AO502" s="50">
        <f t="shared" si="456"/>
        <v>1.3205447934604631</v>
      </c>
      <c r="AP502" s="50" t="str">
        <f t="shared" si="435"/>
        <v>1-11.2482875098849i</v>
      </c>
      <c r="AQ502" s="50">
        <f t="shared" si="457"/>
        <v>11.292651234543314</v>
      </c>
      <c r="AR502" s="50">
        <f t="shared" si="458"/>
        <v>-1.4821270181853674</v>
      </c>
      <c r="AS502" s="59" t="str">
        <f t="shared" si="459"/>
        <v>-0.243105077809852-1.49431729820632i</v>
      </c>
      <c r="AT502" s="50">
        <f t="shared" si="460"/>
        <v>3.602305800650079</v>
      </c>
      <c r="AU502" s="61">
        <f t="shared" si="461"/>
        <v>-99.240290215796492</v>
      </c>
      <c r="AV502" s="32" t="str">
        <f t="shared" si="436"/>
        <v>-0.0000333333333333333</v>
      </c>
      <c r="AW502" s="32" t="str">
        <f t="shared" si="437"/>
        <v>0.208651305193423i</v>
      </c>
      <c r="AX502" s="32">
        <f t="shared" si="462"/>
        <v>0.20865130519342301</v>
      </c>
      <c r="AY502" s="32">
        <f t="shared" si="463"/>
        <v>1.5707963267948966</v>
      </c>
      <c r="AZ502" s="32" t="str">
        <f t="shared" si="438"/>
        <v>1+85.1268345841224i</v>
      </c>
      <c r="BA502" s="32">
        <f t="shared" si="464"/>
        <v>85.132707970042517</v>
      </c>
      <c r="BB502" s="32">
        <f t="shared" si="465"/>
        <v>1.559049690026711</v>
      </c>
      <c r="BC502" s="32" t="str">
        <f t="shared" si="439"/>
        <v>1+4086.08806003788i</v>
      </c>
      <c r="BD502" s="32">
        <f t="shared" si="466"/>
        <v>4086.0881824043058</v>
      </c>
      <c r="BE502" s="32">
        <f t="shared" si="467"/>
        <v>1.5705515939439785</v>
      </c>
      <c r="BF502" s="59" t="str">
        <f t="shared" si="468"/>
        <v>-0.0000881919785770782+0.00766726014173843i</v>
      </c>
      <c r="BG502" s="50">
        <f t="shared" si="469"/>
        <v>-42.306621469839627</v>
      </c>
      <c r="BH502" s="61">
        <f t="shared" si="470"/>
        <v>90.659010550824419</v>
      </c>
      <c r="BI502" s="59" t="str">
        <f t="shared" si="471"/>
        <v>-0.000739334306566465-0.000396725829694393i</v>
      </c>
      <c r="BJ502" s="64">
        <f t="shared" si="472"/>
        <v>-61.524232688647842</v>
      </c>
      <c r="BK502" s="61">
        <f t="shared" si="473"/>
        <v>-151.78205083746474</v>
      </c>
      <c r="BL502" s="59" t="str">
        <f t="shared" si="478"/>
        <v>0.0114787593774618-0.00173216307419493i</v>
      </c>
      <c r="BM502" s="64">
        <f t="shared" si="474"/>
        <v>-38.704315669189519</v>
      </c>
      <c r="BN502" s="61">
        <f t="shared" si="479"/>
        <v>-8.5812796649720475</v>
      </c>
      <c r="BO502" s="50">
        <f t="shared" si="475"/>
        <v>-61.524232688647842</v>
      </c>
      <c r="BP502" s="61">
        <f t="shared" si="476"/>
        <v>-151.78205083746474</v>
      </c>
    </row>
    <row r="503" spans="14:68" x14ac:dyDescent="0.25">
      <c r="N503" s="11">
        <v>85</v>
      </c>
      <c r="O503" s="51">
        <f t="shared" si="477"/>
        <v>707945.78438413853</v>
      </c>
      <c r="P503" s="49" t="str">
        <f t="shared" si="427"/>
        <v>37.1583961085025</v>
      </c>
      <c r="Q503" s="18" t="str">
        <f t="shared" si="428"/>
        <v>1+3486.50765326909i</v>
      </c>
      <c r="R503" s="18">
        <f t="shared" si="440"/>
        <v>3486.5077966790695</v>
      </c>
      <c r="S503" s="18">
        <f t="shared" si="441"/>
        <v>1.5705095068386461</v>
      </c>
      <c r="T503" s="18" t="str">
        <f t="shared" si="429"/>
        <v>1+4.00333909564994i</v>
      </c>
      <c r="U503" s="18">
        <f t="shared" si="442"/>
        <v>4.1263451036915555</v>
      </c>
      <c r="V503" s="18">
        <f t="shared" si="443"/>
        <v>1.3260139268586679</v>
      </c>
      <c r="W503" s="32" t="str">
        <f t="shared" si="430"/>
        <v>1-35.040800822746i</v>
      </c>
      <c r="X503" s="18">
        <f t="shared" si="444"/>
        <v>35.055066998928368</v>
      </c>
      <c r="Y503" s="18">
        <f t="shared" si="445"/>
        <v>-1.5422659098645841</v>
      </c>
      <c r="Z503" s="32" t="str">
        <f t="shared" si="431"/>
        <v>-11.5296808406818+8.43666646453634i</v>
      </c>
      <c r="AA503" s="18">
        <f t="shared" si="446"/>
        <v>14.286737952444465</v>
      </c>
      <c r="AB503" s="18">
        <f t="shared" si="447"/>
        <v>2.5098842464139208</v>
      </c>
      <c r="AC503" s="32" t="str">
        <f>IMDIV(IMSUM(COMPLEX(0,2*PI()*O503*Constants!$B$61*Constants!$B$62),COMPLEX(1,0)),IMSUM(COMPLEX(0,2*PI()*O503*Constants!$B$61*Constants!$B$62),COMPLEX(2,0)))</f>
        <v>0.993761254356228+0.0555018096522823i</v>
      </c>
      <c r="AD503" s="18">
        <f t="shared" si="448"/>
        <v>0.9953099424472468</v>
      </c>
      <c r="AE503" s="18">
        <f t="shared" si="449"/>
        <v>5.5792283275504638E-2</v>
      </c>
      <c r="AF503" s="66" t="str">
        <f t="shared" si="450"/>
        <v>-0.048787373219224+0.0956804373668118i</v>
      </c>
      <c r="AG503" s="64">
        <f t="shared" si="451"/>
        <v>-19.379841375586238</v>
      </c>
      <c r="AH503" s="61">
        <f t="shared" si="452"/>
        <v>117.01699561059344</v>
      </c>
      <c r="AI503" s="50" t="str">
        <f t="shared" si="432"/>
        <v>107.538871525172</v>
      </c>
      <c r="AJ503" s="50" t="str">
        <f t="shared" si="433"/>
        <v>1+3314.4528226972i</v>
      </c>
      <c r="AK503" s="50">
        <f t="shared" si="453"/>
        <v>3314.4529735516599</v>
      </c>
      <c r="AL503" s="50">
        <f t="shared" si="454"/>
        <v>1.5704946178784778</v>
      </c>
      <c r="AM503" s="50" t="str">
        <f t="shared" si="434"/>
        <v>1+4.00333909564994i</v>
      </c>
      <c r="AN503" s="50">
        <f t="shared" si="455"/>
        <v>4.1263451036915555</v>
      </c>
      <c r="AO503" s="50">
        <f t="shared" si="456"/>
        <v>1.3260139268586679</v>
      </c>
      <c r="AP503" s="50" t="str">
        <f t="shared" si="435"/>
        <v>1-11.5102937840243i</v>
      </c>
      <c r="AQ503" s="50">
        <f t="shared" si="457"/>
        <v>11.553651500480203</v>
      </c>
      <c r="AR503" s="50">
        <f t="shared" si="458"/>
        <v>-1.4841351712122233</v>
      </c>
      <c r="AS503" s="59" t="str">
        <f t="shared" si="459"/>
        <v>-0.243105540197771-1.52759185654681i</v>
      </c>
      <c r="AT503" s="50">
        <f t="shared" si="460"/>
        <v>3.7887684780172664</v>
      </c>
      <c r="AU503" s="61">
        <f t="shared" si="461"/>
        <v>-99.042393305263246</v>
      </c>
      <c r="AV503" s="32" t="str">
        <f t="shared" si="436"/>
        <v>-0.0000333333333333333</v>
      </c>
      <c r="AW503" s="32" t="str">
        <f t="shared" si="437"/>
        <v>0.213511418434663i</v>
      </c>
      <c r="AX503" s="32">
        <f t="shared" si="462"/>
        <v>0.21351141843466301</v>
      </c>
      <c r="AY503" s="32">
        <f t="shared" si="463"/>
        <v>1.5707963267948966</v>
      </c>
      <c r="AZ503" s="32" t="str">
        <f t="shared" si="438"/>
        <v>1+87.1096932849755i</v>
      </c>
      <c r="BA503" s="32">
        <f t="shared" si="464"/>
        <v>87.115432985220863</v>
      </c>
      <c r="BB503" s="32">
        <f t="shared" si="465"/>
        <v>1.5593170523614268</v>
      </c>
      <c r="BC503" s="32" t="str">
        <f t="shared" si="439"/>
        <v>1+4181.26527767883i</v>
      </c>
      <c r="BD503" s="32">
        <f t="shared" si="466"/>
        <v>4181.2653972598564</v>
      </c>
      <c r="BE503" s="32">
        <f t="shared" si="467"/>
        <v>1.5705571647435739</v>
      </c>
      <c r="BF503" s="59" t="str">
        <f t="shared" si="468"/>
        <v>-0.0000842232087132716+0.00749277755385736i</v>
      </c>
      <c r="BG503" s="50">
        <f t="shared" si="469"/>
        <v>-42.506594511802874</v>
      </c>
      <c r="BH503" s="61">
        <f t="shared" si="470"/>
        <v>90.644011000749771</v>
      </c>
      <c r="BI503" s="59" t="str">
        <f t="shared" si="471"/>
        <v>-0.000712803204328087-0.000373611448414785i</v>
      </c>
      <c r="BJ503" s="64">
        <f t="shared" si="472"/>
        <v>-61.886435887389119</v>
      </c>
      <c r="BK503" s="61">
        <f t="shared" si="473"/>
        <v>-152.33899338865677</v>
      </c>
      <c r="BL503" s="59" t="str">
        <f t="shared" si="478"/>
        <v>0.0114663811028407-0.00169287704704959i</v>
      </c>
      <c r="BM503" s="64">
        <f t="shared" si="474"/>
        <v>-38.717826033785578</v>
      </c>
      <c r="BN503" s="61">
        <f t="shared" si="479"/>
        <v>-8.3983823045134436</v>
      </c>
      <c r="BO503" s="50">
        <f t="shared" si="475"/>
        <v>-61.886435887389119</v>
      </c>
      <c r="BP503" s="61">
        <f t="shared" si="476"/>
        <v>-152.33899338865677</v>
      </c>
    </row>
    <row r="504" spans="14:68" x14ac:dyDescent="0.25">
      <c r="N504" s="11">
        <v>86</v>
      </c>
      <c r="O504" s="51">
        <f t="shared" si="477"/>
        <v>724435.96007499192</v>
      </c>
      <c r="P504" s="49" t="str">
        <f t="shared" si="427"/>
        <v>37.1583961085025</v>
      </c>
      <c r="Q504" s="18" t="str">
        <f t="shared" si="428"/>
        <v>1+3567.71884912348i</v>
      </c>
      <c r="R504" s="18">
        <f t="shared" si="440"/>
        <v>3567.7189892690503</v>
      </c>
      <c r="S504" s="18">
        <f t="shared" si="441"/>
        <v>1.5705160356575896</v>
      </c>
      <c r="T504" s="18" t="str">
        <f t="shared" si="429"/>
        <v>1+4.09658884230216i</v>
      </c>
      <c r="U504" s="18">
        <f t="shared" si="442"/>
        <v>4.2168756375869751</v>
      </c>
      <c r="V504" s="18">
        <f t="shared" si="443"/>
        <v>1.3313730458397801</v>
      </c>
      <c r="W504" s="32" t="str">
        <f t="shared" si="430"/>
        <v>1-35.8570059258217i</v>
      </c>
      <c r="X504" s="18">
        <f t="shared" si="444"/>
        <v>35.870947491868861</v>
      </c>
      <c r="Y504" s="18">
        <f t="shared" si="445"/>
        <v>-1.5429150010126358</v>
      </c>
      <c r="Z504" s="32" t="str">
        <f t="shared" si="431"/>
        <v>-12.1201865062444+8.63318167137009i</v>
      </c>
      <c r="AA504" s="18">
        <f t="shared" si="446"/>
        <v>14.880549274708555</v>
      </c>
      <c r="AB504" s="18">
        <f t="shared" si="447"/>
        <v>2.5226607553341904</v>
      </c>
      <c r="AC504" s="32" t="str">
        <f>IMDIV(IMSUM(COMPLEX(0,2*PI()*O504*Constants!$B$61*Constants!$B$62),COMPLEX(1,0)),IMSUM(COMPLEX(0,2*PI()*O504*Constants!$B$61*Constants!$B$62),COMPLEX(2,0)))</f>
        <v>0.994038696417549+0.0542689105365433i</v>
      </c>
      <c r="AD504" s="18">
        <f t="shared" si="448"/>
        <v>0.99551898255448834</v>
      </c>
      <c r="AE504" s="18">
        <f t="shared" si="449"/>
        <v>5.4540220596035499E-2</v>
      </c>
      <c r="AF504" s="66" t="str">
        <f t="shared" si="450"/>
        <v>-0.046999690658649+0.0943380840972722i</v>
      </c>
      <c r="AG504" s="64">
        <f t="shared" si="451"/>
        <v>-19.543389105021202</v>
      </c>
      <c r="AH504" s="61">
        <f t="shared" si="452"/>
        <v>116.48270830778424</v>
      </c>
      <c r="AI504" s="50" t="str">
        <f t="shared" si="432"/>
        <v>107.538871525172</v>
      </c>
      <c r="AJ504" s="50" t="str">
        <f t="shared" si="433"/>
        <v>1+3391.65634671121i</v>
      </c>
      <c r="AK504" s="50">
        <f t="shared" si="453"/>
        <v>3391.6564941318029</v>
      </c>
      <c r="AL504" s="50">
        <f t="shared" si="454"/>
        <v>1.5705014856114752</v>
      </c>
      <c r="AM504" s="50" t="str">
        <f t="shared" si="434"/>
        <v>1+4.09658884230216i</v>
      </c>
      <c r="AN504" s="50">
        <f t="shared" si="455"/>
        <v>4.2168756375869751</v>
      </c>
      <c r="AO504" s="50">
        <f t="shared" si="456"/>
        <v>1.3313730458397801</v>
      </c>
      <c r="AP504" s="50" t="str">
        <f t="shared" si="435"/>
        <v>1-11.7784029682848i</v>
      </c>
      <c r="AQ504" s="50">
        <f t="shared" si="457"/>
        <v>11.820777321449727</v>
      </c>
      <c r="AR504" s="50">
        <f t="shared" si="458"/>
        <v>-1.4860982904116171</v>
      </c>
      <c r="AS504" s="59" t="str">
        <f>(IMDIV(IMPRODUCT(AI504,AM504,AP504),IMPRODUCT(AJ504)))</f>
        <v>-0.243105981774812-1.56167636429716i</v>
      </c>
      <c r="AT504" s="50">
        <f t="shared" si="460"/>
        <v>3.9758088721118359</v>
      </c>
      <c r="AU504" s="61">
        <f t="shared" si="461"/>
        <v>-98.848210342659002</v>
      </c>
      <c r="AV504" s="32" t="str">
        <f t="shared" si="436"/>
        <v>-0.0000333333333333333</v>
      </c>
      <c r="AW504" s="32" t="str">
        <f t="shared" si="437"/>
        <v>0.218484738256115i</v>
      </c>
      <c r="AX504" s="32">
        <f t="shared" si="462"/>
        <v>0.218484738256115</v>
      </c>
      <c r="AY504" s="32">
        <f t="shared" si="463"/>
        <v>1.5707963267948966</v>
      </c>
      <c r="AZ504" s="32" t="str">
        <f t="shared" si="438"/>
        <v>1+89.1387386982415i</v>
      </c>
      <c r="BA504" s="32">
        <f t="shared" si="464"/>
        <v>89.14434775527485</v>
      </c>
      <c r="BB504" s="32">
        <f t="shared" si="465"/>
        <v>1.5595783303722792</v>
      </c>
      <c r="BC504" s="32" t="str">
        <f t="shared" si="439"/>
        <v>1+4278.6594575156i</v>
      </c>
      <c r="BD504" s="32">
        <f t="shared" si="466"/>
        <v>4278.6595743746302</v>
      </c>
      <c r="BE504" s="32">
        <f t="shared" si="467"/>
        <v>1.5705626087363034</v>
      </c>
      <c r="BF504" s="59" t="str">
        <f t="shared" si="468"/>
        <v>-0.0000804330169029193+0.00732226363411346i</v>
      </c>
      <c r="BG504" s="50">
        <f t="shared" si="469"/>
        <v>-42.706568766921258</v>
      </c>
      <c r="BH504" s="61">
        <f t="shared" si="470"/>
        <v>90.629352791255442</v>
      </c>
      <c r="BI504" s="59" t="str">
        <f t="shared" si="471"/>
        <v>-0.000686987995584214-0.000351732022437193i</v>
      </c>
      <c r="BJ504" s="64">
        <f t="shared" si="472"/>
        <v>-62.249957871942456</v>
      </c>
      <c r="BK504" s="61">
        <f t="shared" si="473"/>
        <v>-152.88793890096028</v>
      </c>
      <c r="BL504" s="59" t="str">
        <f t="shared" si="478"/>
        <v>0.0114545597980889-0.00165447574817875i</v>
      </c>
      <c r="BM504" s="64">
        <f t="shared" si="474"/>
        <v>-38.730759894809431</v>
      </c>
      <c r="BN504" s="61">
        <f t="shared" si="479"/>
        <v>-8.2188575514035449</v>
      </c>
      <c r="BO504" s="50">
        <f t="shared" si="475"/>
        <v>-62.249957871942456</v>
      </c>
      <c r="BP504" s="61">
        <f t="shared" si="476"/>
        <v>-152.88793890096028</v>
      </c>
    </row>
    <row r="505" spans="14:68" x14ac:dyDescent="0.25">
      <c r="N505" s="11">
        <v>87</v>
      </c>
      <c r="O505" s="51">
        <f t="shared" si="477"/>
        <v>741310.24130091805</v>
      </c>
      <c r="P505" s="49" t="str">
        <f t="shared" si="427"/>
        <v>37.1583961085025</v>
      </c>
      <c r="Q505" s="18" t="str">
        <f t="shared" si="428"/>
        <v>1+3650.821696736i</v>
      </c>
      <c r="R505" s="18">
        <f t="shared" si="440"/>
        <v>3650.821833691467</v>
      </c>
      <c r="S505" s="18">
        <f t="shared" si="441"/>
        <v>1.5705224158624933</v>
      </c>
      <c r="T505" s="18" t="str">
        <f t="shared" si="429"/>
        <v>1+4.19201065458332i</v>
      </c>
      <c r="U505" s="18">
        <f t="shared" si="442"/>
        <v>4.309634941400498</v>
      </c>
      <c r="V505" s="18">
        <f t="shared" si="443"/>
        <v>1.3366237600313042</v>
      </c>
      <c r="W505" s="32" t="str">
        <f t="shared" si="430"/>
        <v>1-36.6922228880627i</v>
      </c>
      <c r="X505" s="18">
        <f t="shared" si="444"/>
        <v>36.705847224485531</v>
      </c>
      <c r="Y505" s="18">
        <f t="shared" si="445"/>
        <v>-1.5435493397507973</v>
      </c>
      <c r="Z505" s="32" t="str">
        <f t="shared" si="431"/>
        <v>-12.7385218464406+8.83427430539964i</v>
      </c>
      <c r="AA505" s="18">
        <f t="shared" si="446"/>
        <v>15.502075388001719</v>
      </c>
      <c r="AB505" s="18">
        <f t="shared" si="447"/>
        <v>2.5352366403260116</v>
      </c>
      <c r="AC505" s="32" t="str">
        <f>IMDIV(IMSUM(COMPLEX(0,2*PI()*O505*Constants!$B$61*Constants!$B$62),COMPLEX(1,0)),IMSUM(COMPLEX(0,2*PI()*O505*Constants!$B$61*Constants!$B$62),COMPLEX(2,0)))</f>
        <v>0.994303942738849+0.0530620727285801i</v>
      </c>
      <c r="AD505" s="18">
        <f t="shared" si="448"/>
        <v>0.99571879268610453</v>
      </c>
      <c r="AE505" s="18">
        <f t="shared" si="449"/>
        <v>5.3315474174547892E-2</v>
      </c>
      <c r="AF505" s="66" t="str">
        <f t="shared" si="450"/>
        <v>-0.045263520638054+0.0929846272612119i</v>
      </c>
      <c r="AG505" s="64">
        <f t="shared" si="451"/>
        <v>-19.708221670070746</v>
      </c>
      <c r="AH505" s="61">
        <f t="shared" si="452"/>
        <v>115.95612364449796</v>
      </c>
      <c r="AI505" s="50" t="str">
        <f t="shared" si="432"/>
        <v>107.538871525172</v>
      </c>
      <c r="AJ505" s="50" t="str">
        <f t="shared" si="433"/>
        <v>1+3470.65817181412i</v>
      </c>
      <c r="AK505" s="50">
        <f t="shared" si="453"/>
        <v>3470.6583158790113</v>
      </c>
      <c r="AL505" s="50">
        <f t="shared" si="454"/>
        <v>1.5705081970158108</v>
      </c>
      <c r="AM505" s="50" t="str">
        <f t="shared" si="434"/>
        <v>1+4.19201065458332i</v>
      </c>
      <c r="AN505" s="50">
        <f t="shared" si="455"/>
        <v>4.309634941400498</v>
      </c>
      <c r="AO505" s="50">
        <f t="shared" si="456"/>
        <v>1.3366237600313042</v>
      </c>
      <c r="AP505" s="50" t="str">
        <f t="shared" si="435"/>
        <v>1-12.0527572177047i</v>
      </c>
      <c r="AQ505" s="50">
        <f t="shared" si="457"/>
        <v>12.094170353890869</v>
      </c>
      <c r="AR505" s="50">
        <f t="shared" si="458"/>
        <v>-1.4880173560973979</v>
      </c>
      <c r="AS505" s="59" t="str">
        <f t="shared" si="459"/>
        <v>-0.243106403477617-1.59658889351536i</v>
      </c>
      <c r="AT505" s="50">
        <f t="shared" si="460"/>
        <v>4.1634036078691157</v>
      </c>
      <c r="AU505" s="61">
        <f t="shared" si="461"/>
        <v>-98.657705479601901</v>
      </c>
      <c r="AV505" s="32" t="str">
        <f t="shared" si="436"/>
        <v>-0.0000333333333333333</v>
      </c>
      <c r="AW505" s="32" t="str">
        <f t="shared" si="437"/>
        <v>0.223573901577777i</v>
      </c>
      <c r="AX505" s="32">
        <f t="shared" si="462"/>
        <v>0.22357390157777701</v>
      </c>
      <c r="AY505" s="32">
        <f t="shared" si="463"/>
        <v>1.5707963267948966</v>
      </c>
      <c r="AZ505" s="32" t="str">
        <f t="shared" si="438"/>
        <v>1+91.2150466506555i</v>
      </c>
      <c r="BA505" s="32">
        <f t="shared" si="464"/>
        <v>91.220528037724364</v>
      </c>
      <c r="BB505" s="32">
        <f t="shared" si="465"/>
        <v>1.5598336624495546</v>
      </c>
      <c r="BC505" s="32" t="str">
        <f t="shared" si="439"/>
        <v>1+4378.32223923147i</v>
      </c>
      <c r="BD505" s="32">
        <f t="shared" si="466"/>
        <v>4378.3223534304634</v>
      </c>
      <c r="BE505" s="32">
        <f t="shared" si="467"/>
        <v>1.5705679288086427</v>
      </c>
      <c r="BF505" s="59" t="str">
        <f t="shared" si="468"/>
        <v>-0.0000768133698576966+0.00715562824747213i</v>
      </c>
      <c r="BG505" s="50">
        <f t="shared" si="469"/>
        <v>-42.906544180607604</v>
      </c>
      <c r="BH505" s="61">
        <f t="shared" si="470"/>
        <v>90.615028158545016</v>
      </c>
      <c r="BI505" s="59" t="str">
        <f t="shared" si="471"/>
        <v>-0.000661886581859163-0.000331031389422593i</v>
      </c>
      <c r="BJ505" s="64">
        <f t="shared" si="472"/>
        <v>-62.614765850678339</v>
      </c>
      <c r="BK505" s="61">
        <f t="shared" si="473"/>
        <v>-153.42884819695701</v>
      </c>
      <c r="BL505" s="59" t="str">
        <f t="shared" si="478"/>
        <v>0.0114432704081239-0.00161693967467751i</v>
      </c>
      <c r="BM505" s="64">
        <f t="shared" si="474"/>
        <v>-38.743140572738469</v>
      </c>
      <c r="BN505" s="61">
        <f t="shared" si="479"/>
        <v>-8.0426773210569014</v>
      </c>
      <c r="BO505" s="50">
        <f t="shared" si="475"/>
        <v>-62.614765850678339</v>
      </c>
      <c r="BP505" s="61">
        <f t="shared" si="476"/>
        <v>-153.42884819695701</v>
      </c>
    </row>
    <row r="506" spans="14:68" x14ac:dyDescent="0.25">
      <c r="N506" s="11">
        <v>88</v>
      </c>
      <c r="O506" s="51">
        <f t="shared" si="477"/>
        <v>758577.57502918423</v>
      </c>
      <c r="P506" s="49" t="str">
        <f t="shared" si="427"/>
        <v>37.1583961085025</v>
      </c>
      <c r="Q506" s="18" t="str">
        <f t="shared" si="428"/>
        <v>1+3735.86025833649i</v>
      </c>
      <c r="R506" s="18">
        <f t="shared" si="440"/>
        <v>3735.8603921744702</v>
      </c>
      <c r="S506" s="18">
        <f t="shared" si="441"/>
        <v>1.5705286508362242</v>
      </c>
      <c r="T506" s="18" t="str">
        <f t="shared" si="429"/>
        <v>1+4.28965512640136i</v>
      </c>
      <c r="U506" s="18">
        <f t="shared" si="442"/>
        <v>4.4046726443018978</v>
      </c>
      <c r="V506" s="18">
        <f t="shared" si="443"/>
        <v>1.3417676948283441</v>
      </c>
      <c r="W506" s="32" t="str">
        <f t="shared" si="430"/>
        <v>1-37.5468945525581i</v>
      </c>
      <c r="X506" s="18">
        <f t="shared" si="444"/>
        <v>37.560208872434629</v>
      </c>
      <c r="Y506" s="18">
        <f t="shared" si="445"/>
        <v>-1.5441692603707049</v>
      </c>
      <c r="Z506" s="32" t="str">
        <f t="shared" si="431"/>
        <v>-13.3859984334289+9.04005098860138i</v>
      </c>
      <c r="AA506" s="18">
        <f t="shared" si="446"/>
        <v>16.152630619693927</v>
      </c>
      <c r="AB506" s="18">
        <f t="shared" si="447"/>
        <v>2.5476119709529268</v>
      </c>
      <c r="AC506" s="32" t="str">
        <f>IMDIV(IMSUM(COMPLEX(0,2*PI()*O506*Constants!$B$61*Constants!$B$62),COMPLEX(1,0)),IMSUM(COMPLEX(0,2*PI()*O506*Constants!$B$61*Constants!$B$62),COMPLEX(2,0)))</f>
        <v>0.99455751702385+0.051880833331101i</v>
      </c>
      <c r="AD506" s="18">
        <f t="shared" si="448"/>
        <v>0.99590977278856696</v>
      </c>
      <c r="AE506" s="18">
        <f t="shared" si="449"/>
        <v>5.2117499937988039E-2</v>
      </c>
      <c r="AF506" s="66" t="str">
        <f t="shared" si="450"/>
        <v>-0.0435783639281585+0.0916219175463825i</v>
      </c>
      <c r="AG506" s="64">
        <f t="shared" si="451"/>
        <v>-19.874306203422066</v>
      </c>
      <c r="AH506" s="61">
        <f t="shared" si="452"/>
        <v>115.43728024290331</v>
      </c>
      <c r="AI506" s="50" t="str">
        <f t="shared" si="432"/>
        <v>107.538871525172</v>
      </c>
      <c r="AJ506" s="50" t="str">
        <f t="shared" si="433"/>
        <v>1+3551.50018581932i</v>
      </c>
      <c r="AK506" s="50">
        <f t="shared" si="453"/>
        <v>3551.5003266048934</v>
      </c>
      <c r="AL506" s="50">
        <f t="shared" si="454"/>
        <v>1.5705147556499575</v>
      </c>
      <c r="AM506" s="50" t="str">
        <f t="shared" si="434"/>
        <v>1+4.28965512640136i</v>
      </c>
      <c r="AN506" s="50">
        <f t="shared" si="455"/>
        <v>4.4046726443018978</v>
      </c>
      <c r="AO506" s="50">
        <f t="shared" si="456"/>
        <v>1.3417676948283441</v>
      </c>
      <c r="AP506" s="50" t="str">
        <f t="shared" si="435"/>
        <v>1-12.3335019985385i</v>
      </c>
      <c r="AQ506" s="50">
        <f t="shared" si="457"/>
        <v>12.373975575697294</v>
      </c>
      <c r="AR506" s="50">
        <f t="shared" si="458"/>
        <v>-1.4898933292116712</v>
      </c>
      <c r="AS506" s="59" t="str">
        <f t="shared" si="459"/>
        <v>-0.243106806200671-1.63234795528732i</v>
      </c>
      <c r="AT506" s="50">
        <f t="shared" si="460"/>
        <v>4.3515301496028922</v>
      </c>
      <c r="AU506" s="61">
        <f t="shared" si="461"/>
        <v>-98.470840849624835</v>
      </c>
      <c r="AV506" s="32" t="str">
        <f t="shared" si="436"/>
        <v>-0.0000333333333333333</v>
      </c>
      <c r="AW506" s="32" t="str">
        <f t="shared" si="437"/>
        <v>0.228781606741406i</v>
      </c>
      <c r="AX506" s="32">
        <f t="shared" si="462"/>
        <v>0.22878160674140599</v>
      </c>
      <c r="AY506" s="32">
        <f t="shared" si="463"/>
        <v>1.5707963267948966</v>
      </c>
      <c r="AZ506" s="32" t="str">
        <f t="shared" si="438"/>
        <v>1+93.3397180281778i</v>
      </c>
      <c r="BA506" s="32">
        <f t="shared" si="464"/>
        <v>93.345074650887398</v>
      </c>
      <c r="BB506" s="32">
        <f t="shared" si="465"/>
        <v>1.5600831838404534</v>
      </c>
      <c r="BC506" s="32" t="str">
        <f t="shared" si="439"/>
        <v>1+4480.30646535254i</v>
      </c>
      <c r="BD506" s="32">
        <f t="shared" si="466"/>
        <v>4480.3065769520472</v>
      </c>
      <c r="BE506" s="32">
        <f t="shared" si="467"/>
        <v>1.5705731277813633</v>
      </c>
      <c r="BF506" s="59" t="str">
        <f t="shared" si="468"/>
        <v>-0.0000733565954907249+0.00699278329708736i</v>
      </c>
      <c r="BG506" s="50">
        <f t="shared" si="469"/>
        <v>-43.106520700730286</v>
      </c>
      <c r="BH506" s="61">
        <f t="shared" si="470"/>
        <v>90.601029515142955</v>
      </c>
      <c r="BI506" s="59" t="str">
        <f t="shared" si="471"/>
        <v>-0.000637495454250633-0.000311455127334756i</v>
      </c>
      <c r="BJ506" s="64">
        <f t="shared" si="472"/>
        <v>-62.980826904152352</v>
      </c>
      <c r="BK506" s="61">
        <f t="shared" si="473"/>
        <v>-153.96169024195368</v>
      </c>
      <c r="BL506" s="59" t="str">
        <f t="shared" si="478"/>
        <v>0.0114324890044114-0.00158024972515218i</v>
      </c>
      <c r="BM506" s="64">
        <f t="shared" si="474"/>
        <v>-38.754990551127378</v>
      </c>
      <c r="BN506" s="61">
        <f t="shared" si="479"/>
        <v>-7.8698113344818523</v>
      </c>
      <c r="BO506" s="50">
        <f t="shared" si="475"/>
        <v>-62.980826904152352</v>
      </c>
      <c r="BP506" s="61">
        <f t="shared" si="476"/>
        <v>-153.96169024195368</v>
      </c>
    </row>
    <row r="507" spans="14:68" x14ac:dyDescent="0.25">
      <c r="N507" s="11">
        <v>89</v>
      </c>
      <c r="O507" s="51">
        <f t="shared" si="477"/>
        <v>776247.11662869214</v>
      </c>
      <c r="P507" s="49" t="str">
        <f t="shared" si="427"/>
        <v>37.1583961085025</v>
      </c>
      <c r="Q507" s="18" t="str">
        <f t="shared" si="428"/>
        <v>1+3822.8796224959i</v>
      </c>
      <c r="R507" s="18">
        <f t="shared" si="440"/>
        <v>3822.8797532873555</v>
      </c>
      <c r="S507" s="18">
        <f t="shared" si="441"/>
        <v>1.5705347438846458</v>
      </c>
      <c r="T507" s="18" t="str">
        <f t="shared" si="429"/>
        <v>1+4.38957403014773i</v>
      </c>
      <c r="U507" s="18">
        <f t="shared" si="442"/>
        <v>4.50203955626196</v>
      </c>
      <c r="V507" s="18">
        <f t="shared" si="443"/>
        <v>1.3468064882610309</v>
      </c>
      <c r="W507" s="32" t="str">
        <f t="shared" si="430"/>
        <v>1-38.4214740775371i</v>
      </c>
      <c r="X507" s="18">
        <f t="shared" si="444"/>
        <v>38.434485430285854</v>
      </c>
      <c r="Y507" s="18">
        <f t="shared" si="445"/>
        <v>-1.5447750896554937</v>
      </c>
      <c r="Z507" s="32" t="str">
        <f t="shared" si="431"/>
        <v>-14.0639896518589+9.2506208264965i</v>
      </c>
      <c r="AA507" s="18">
        <f t="shared" si="446"/>
        <v>16.833591138055038</v>
      </c>
      <c r="AB507" s="18">
        <f t="shared" si="447"/>
        <v>2.5597869871608077</v>
      </c>
      <c r="AC507" s="32" t="str">
        <f>IMDIV(IMSUM(COMPLEX(0,2*PI()*O507*Constants!$B$61*Constants!$B$62),COMPLEX(1,0)),IMSUM(COMPLEX(0,2*PI()*O507*Constants!$B$61*Constants!$B$62),COMPLEX(2,0)))</f>
        <v>0.994799921568127+0.0507247316428477i</v>
      </c>
      <c r="AD507" s="18">
        <f t="shared" si="448"/>
        <v>0.99609230614044542</v>
      </c>
      <c r="AE507" s="18">
        <f t="shared" si="449"/>
        <v>5.0945761151733833E-2</v>
      </c>
      <c r="AF507" s="66" t="str">
        <f t="shared" si="450"/>
        <v>-0.0419436541523498+0.0902517441564228i</v>
      </c>
      <c r="AG507" s="64">
        <f t="shared" si="451"/>
        <v>-20.041609784372522</v>
      </c>
      <c r="AH507" s="61">
        <f t="shared" si="452"/>
        <v>114.92620854199269</v>
      </c>
      <c r="AI507" s="50" t="str">
        <f t="shared" si="432"/>
        <v>107.538871525172</v>
      </c>
      <c r="AJ507" s="50" t="str">
        <f t="shared" si="433"/>
        <v>1+3634.22525223271i</v>
      </c>
      <c r="AK507" s="50">
        <f t="shared" si="453"/>
        <v>3634.2253898136123</v>
      </c>
      <c r="AL507" s="50">
        <f t="shared" si="454"/>
        <v>1.5705211649913877</v>
      </c>
      <c r="AM507" s="50" t="str">
        <f t="shared" si="434"/>
        <v>1+4.38957403014773i</v>
      </c>
      <c r="AN507" s="50">
        <f t="shared" si="455"/>
        <v>4.50203955626196</v>
      </c>
      <c r="AO507" s="50">
        <f t="shared" si="456"/>
        <v>1.3468064882610309</v>
      </c>
      <c r="AP507" s="50" t="str">
        <f t="shared" si="435"/>
        <v>1-12.6207861653851i</v>
      </c>
      <c r="AQ507" s="50">
        <f t="shared" si="457"/>
        <v>12.660341363185115</v>
      </c>
      <c r="AR507" s="50">
        <f t="shared" si="458"/>
        <v>-1.4917271515742763</v>
      </c>
      <c r="AS507" s="59" t="str">
        <f t="shared" si="459"/>
        <v>-0.243107190798203-1.66897250954163i</v>
      </c>
      <c r="AT507" s="50">
        <f t="shared" si="460"/>
        <v>4.5401667797253111</v>
      </c>
      <c r="AU507" s="61">
        <f t="shared" si="461"/>
        <v>-98.28757676206105</v>
      </c>
      <c r="AV507" s="32" t="str">
        <f t="shared" si="436"/>
        <v>-0.0000333333333333333</v>
      </c>
      <c r="AW507" s="32" t="str">
        <f t="shared" si="437"/>
        <v>0.234110614941212i</v>
      </c>
      <c r="AX507" s="32">
        <f t="shared" si="462"/>
        <v>0.23411061494121199</v>
      </c>
      <c r="AY507" s="32">
        <f t="shared" si="463"/>
        <v>1.5707963267948966</v>
      </c>
      <c r="AZ507" s="32" t="str">
        <f t="shared" si="438"/>
        <v>1+95.513879359696i</v>
      </c>
      <c r="BA507" s="32">
        <f t="shared" si="464"/>
        <v>95.519114057546417</v>
      </c>
      <c r="BB507" s="32">
        <f t="shared" si="465"/>
        <v>1.5603270267201652</v>
      </c>
      <c r="BC507" s="32" t="str">
        <f t="shared" si="439"/>
        <v>1+4584.66620926542i</v>
      </c>
      <c r="BD507" s="32">
        <f t="shared" si="466"/>
        <v>4584.6663183246128</v>
      </c>
      <c r="BE507" s="32">
        <f t="shared" si="467"/>
        <v>1.570578208411028</v>
      </c>
      <c r="BF507" s="59" t="str">
        <f t="shared" si="468"/>
        <v>-0.0000700553666911466+0.00683364267880956i</v>
      </c>
      <c r="BG507" s="50">
        <f t="shared" si="469"/>
        <v>-43.306498277502925</v>
      </c>
      <c r="BH507" s="61">
        <f t="shared" si="470"/>
        <v>90.587349445908217</v>
      </c>
      <c r="BI507" s="59" t="str">
        <f t="shared" si="471"/>
        <v>-0.000613809792632323-0.000292950564152119i</v>
      </c>
      <c r="BJ507" s="64">
        <f t="shared" si="472"/>
        <v>-63.348108061875443</v>
      </c>
      <c r="BK507" s="61">
        <f t="shared" si="473"/>
        <v>-154.4864420120991</v>
      </c>
      <c r="BL507" s="59" t="str">
        <f t="shared" si="478"/>
        <v>0.0114221927343602-0.00154438719341072i</v>
      </c>
      <c r="BM507" s="64">
        <f t="shared" si="474"/>
        <v>-38.766331497777614</v>
      </c>
      <c r="BN507" s="61">
        <f t="shared" si="479"/>
        <v>-7.7002273161528541</v>
      </c>
      <c r="BO507" s="50">
        <f t="shared" si="475"/>
        <v>-63.348108061875443</v>
      </c>
      <c r="BP507" s="61">
        <f t="shared" si="476"/>
        <v>-154.4864420120991</v>
      </c>
    </row>
    <row r="508" spans="14:68" x14ac:dyDescent="0.25">
      <c r="N508" s="11">
        <v>90</v>
      </c>
      <c r="O508" s="51">
        <f t="shared" si="477"/>
        <v>794328.23472428333</v>
      </c>
      <c r="P508" s="49" t="str">
        <f t="shared" si="427"/>
        <v>37.1583961085025</v>
      </c>
      <c r="Q508" s="18" t="str">
        <f t="shared" si="428"/>
        <v>1+3911.92592803295i</v>
      </c>
      <c r="R508" s="18">
        <f t="shared" si="440"/>
        <v>3911.9260558472292</v>
      </c>
      <c r="S508" s="18">
        <f t="shared" si="441"/>
        <v>1.5705406982383709</v>
      </c>
      <c r="T508" s="18" t="str">
        <f t="shared" si="429"/>
        <v>1+4.49182034414777i</v>
      </c>
      <c r="U508" s="18">
        <f t="shared" si="442"/>
        <v>4.6017876965479179</v>
      </c>
      <c r="V508" s="18">
        <f t="shared" si="443"/>
        <v>1.3517417880492704</v>
      </c>
      <c r="W508" s="32" t="str">
        <f t="shared" si="430"/>
        <v>1-39.3164251766405i</v>
      </c>
      <c r="X508" s="18">
        <f t="shared" si="444"/>
        <v>39.329140451710501</v>
      </c>
      <c r="Y508" s="18">
        <f t="shared" si="445"/>
        <v>-1.5453671470439951</v>
      </c>
      <c r="Z508" s="32" t="str">
        <f t="shared" si="431"/>
        <v>-14.7739336120049+9.46609546600029i</v>
      </c>
      <c r="AA508" s="18">
        <f t="shared" si="446"/>
        <v>17.54639785663597</v>
      </c>
      <c r="AB508" s="18">
        <f t="shared" si="447"/>
        <v>2.5717620934451753</v>
      </c>
      <c r="AC508" s="32" t="str">
        <f>IMDIV(IMSUM(COMPLEX(0,2*PI()*O508*Constants!$B$61*Constants!$B$62),COMPLEX(1,0)),IMSUM(COMPLEX(0,2*PI()*O508*Constants!$B$61*Constants!$B$62),COMPLEX(2,0)))</f>
        <v>0.995031638039269+0.0495933096273324i</v>
      </c>
      <c r="AD508" s="18">
        <f t="shared" si="448"/>
        <v>0.99626675998896153</v>
      </c>
      <c r="AE508" s="18">
        <f t="shared" si="449"/>
        <v>4.9799728574268093E-2</v>
      </c>
      <c r="AF508" s="66" t="str">
        <f t="shared" si="450"/>
        <v>-0.0403587626561635+0.0888758324916476i</v>
      </c>
      <c r="AG508" s="64">
        <f t="shared" si="451"/>
        <v>-20.210099511869537</v>
      </c>
      <c r="AH508" s="61">
        <f t="shared" si="452"/>
        <v>114.42293096237358</v>
      </c>
      <c r="AI508" s="50" t="str">
        <f t="shared" si="432"/>
        <v>107.538871525172</v>
      </c>
      <c r="AJ508" s="50" t="str">
        <f t="shared" si="433"/>
        <v>1+3718.8772329795i</v>
      </c>
      <c r="AK508" s="50">
        <f t="shared" si="453"/>
        <v>3718.8773674286795</v>
      </c>
      <c r="AL508" s="50">
        <f t="shared" si="454"/>
        <v>1.570527428438417</v>
      </c>
      <c r="AM508" s="50" t="str">
        <f t="shared" si="434"/>
        <v>1+4.49182034414777i</v>
      </c>
      <c r="AN508" s="50">
        <f t="shared" si="455"/>
        <v>4.6017876965479179</v>
      </c>
      <c r="AO508" s="50">
        <f t="shared" si="456"/>
        <v>1.3517417880492704</v>
      </c>
      <c r="AP508" s="50" t="str">
        <f t="shared" si="435"/>
        <v>1-12.9147620401125i</v>
      </c>
      <c r="AQ508" s="50">
        <f t="shared" si="457"/>
        <v>12.953419569856093</v>
      </c>
      <c r="AR508" s="50">
        <f t="shared" si="458"/>
        <v>-1.4935197461388356</v>
      </c>
      <c r="AS508" s="59" t="str">
        <f t="shared" si="459"/>
        <v>-0.243107558085999-1.70648197510245i</v>
      </c>
      <c r="AT508" s="50">
        <f t="shared" si="460"/>
        <v>4.7292925772335668</v>
      </c>
      <c r="AU508" s="61">
        <f t="shared" si="461"/>
        <v>-98.107871885570447</v>
      </c>
      <c r="AV508" s="32" t="str">
        <f t="shared" si="436"/>
        <v>-0.0000333333333333333</v>
      </c>
      <c r="AW508" s="32" t="str">
        <f t="shared" si="437"/>
        <v>0.239563751687881i</v>
      </c>
      <c r="AX508" s="32">
        <f t="shared" si="462"/>
        <v>0.23956375168788099</v>
      </c>
      <c r="AY508" s="32">
        <f t="shared" si="463"/>
        <v>1.5707963267948966</v>
      </c>
      <c r="AZ508" s="32" t="str">
        <f t="shared" si="438"/>
        <v>1+97.7386834143265i</v>
      </c>
      <c r="BA508" s="32">
        <f t="shared" si="464"/>
        <v>97.743798962215209</v>
      </c>
      <c r="BB508" s="32">
        <f t="shared" si="465"/>
        <v>1.5605653202613561</v>
      </c>
      <c r="BC508" s="32" t="str">
        <f t="shared" si="439"/>
        <v>1+4691.45680388768i</v>
      </c>
      <c r="BD508" s="32">
        <f t="shared" si="466"/>
        <v>4691.4569104643815</v>
      </c>
      <c r="BE508" s="32">
        <f t="shared" si="467"/>
        <v>1.5705831733914535</v>
      </c>
      <c r="BF508" s="59" t="str">
        <f t="shared" si="468"/>
        <v>-0.0000669026858262113+0.00667812223666886i</v>
      </c>
      <c r="BG508" s="50">
        <f t="shared" si="469"/>
        <v>-43.506476863378879</v>
      </c>
      <c r="BH508" s="61">
        <f t="shared" si="470"/>
        <v>90.573980704136503</v>
      </c>
      <c r="BI508" s="59" t="str">
        <f t="shared" si="471"/>
        <v>-0.000590823563646609-0.000275466782237298i</v>
      </c>
      <c r="BJ508" s="64">
        <f t="shared" si="472"/>
        <v>-63.716576375248415</v>
      </c>
      <c r="BK508" s="61">
        <f t="shared" si="473"/>
        <v>-155.0030883334899</v>
      </c>
      <c r="BL508" s="59" t="str">
        <f t="shared" si="478"/>
        <v>0.0114123597729869-0.001509333762108i</v>
      </c>
      <c r="BM508" s="64">
        <f t="shared" si="474"/>
        <v>-38.7771842861453</v>
      </c>
      <c r="BN508" s="61">
        <f t="shared" si="479"/>
        <v>-7.5338911814339111</v>
      </c>
      <c r="BO508" s="50">
        <f t="shared" si="475"/>
        <v>-63.716576375248415</v>
      </c>
      <c r="BP508" s="61">
        <f t="shared" si="476"/>
        <v>-155.0030883334899</v>
      </c>
    </row>
    <row r="509" spans="14:68" x14ac:dyDescent="0.25">
      <c r="N509" s="11">
        <v>91</v>
      </c>
      <c r="O509" s="51">
        <f t="shared" si="477"/>
        <v>812830.51616410096</v>
      </c>
      <c r="P509" s="49" t="str">
        <f t="shared" si="427"/>
        <v>37.1583961085025</v>
      </c>
      <c r="Q509" s="18" t="str">
        <f t="shared" si="428"/>
        <v>1+4003.0463884775i</v>
      </c>
      <c r="R509" s="18">
        <f t="shared" si="440"/>
        <v>4003.0465133823704</v>
      </c>
      <c r="S509" s="18">
        <f t="shared" si="441"/>
        <v>1.5705465170544757</v>
      </c>
      <c r="T509" s="18" t="str">
        <f t="shared" si="429"/>
        <v>1+4.59644828075054i</v>
      </c>
      <c r="U509" s="18">
        <f t="shared" si="442"/>
        <v>4.7039703227820846</v>
      </c>
      <c r="V509" s="18">
        <f t="shared" si="443"/>
        <v>1.3565752488390213</v>
      </c>
      <c r="W509" s="32" t="str">
        <f t="shared" si="430"/>
        <v>1-40.2322223647868i</v>
      </c>
      <c r="X509" s="18">
        <f t="shared" si="444"/>
        <v>40.244648295265939</v>
      </c>
      <c r="Y509" s="18">
        <f t="shared" si="445"/>
        <v>-1.5459457447916418</v>
      </c>
      <c r="Z509" s="32" t="str">
        <f t="shared" si="431"/>
        <v>-15.5173362001899+9.68658915461871i</v>
      </c>
      <c r="AA509" s="18">
        <f t="shared" si="446"/>
        <v>18.292559476467495</v>
      </c>
      <c r="AB509" s="18">
        <f t="shared" si="447"/>
        <v>2.5835378527286297</v>
      </c>
      <c r="AC509" s="32" t="str">
        <f>IMDIV(IMSUM(COMPLEX(0,2*PI()*O509*Constants!$B$61*Constants!$B$62),COMPLEX(1,0)),IMSUM(COMPLEX(0,2*PI()*O509*Constants!$B$61*Constants!$B$62),COMPLEX(2,0)))</f>
        <v>0.995253128237187+0.0484861123402751i</v>
      </c>
      <c r="AD509" s="18">
        <f t="shared" si="448"/>
        <v>0.99643348616743121</v>
      </c>
      <c r="AE509" s="18">
        <f t="shared" si="449"/>
        <v>4.8678880588461718E-2</v>
      </c>
      <c r="AF509" s="66" t="str">
        <f t="shared" si="450"/>
        <v>-0.0388230034056092+0.0874958422453458i</v>
      </c>
      <c r="AG509" s="64">
        <f t="shared" si="451"/>
        <v>-20.379742573537129</v>
      </c>
      <c r="AH509" s="61">
        <f t="shared" si="452"/>
        <v>113.9274620969214</v>
      </c>
      <c r="AI509" s="50" t="str">
        <f t="shared" si="432"/>
        <v>107.538871525172</v>
      </c>
      <c r="AJ509" s="50" t="str">
        <f t="shared" si="433"/>
        <v>1+3805.50101166036i</v>
      </c>
      <c r="AK509" s="50">
        <f t="shared" si="453"/>
        <v>3805.5011430491022</v>
      </c>
      <c r="AL509" s="50">
        <f t="shared" si="454"/>
        <v>1.5705335493120058</v>
      </c>
      <c r="AM509" s="50" t="str">
        <f t="shared" si="434"/>
        <v>1+4.59644828075054i</v>
      </c>
      <c r="AN509" s="50">
        <f t="shared" si="455"/>
        <v>4.7039703227820846</v>
      </c>
      <c r="AO509" s="50">
        <f t="shared" si="456"/>
        <v>1.3565752488390213</v>
      </c>
      <c r="AP509" s="50" t="str">
        <f t="shared" si="435"/>
        <v>1-13.2155854926206i</v>
      </c>
      <c r="AQ509" s="50">
        <f t="shared" si="457"/>
        <v>13.25336560699825</v>
      </c>
      <c r="AR509" s="50">
        <f t="shared" si="458"/>
        <v>-1.4952720172544618</v>
      </c>
      <c r="AS509" s="59" t="str">
        <f t="shared" si="459"/>
        <v>-0.243107908843123-1.74489623998552i</v>
      </c>
      <c r="AT509" s="50">
        <f t="shared" si="460"/>
        <v>4.9188873960474293</v>
      </c>
      <c r="AU509" s="61">
        <f t="shared" si="461"/>
        <v>-97.931683421587422</v>
      </c>
      <c r="AV509" s="32" t="str">
        <f t="shared" si="436"/>
        <v>-0.0000333333333333333</v>
      </c>
      <c r="AW509" s="32" t="str">
        <f t="shared" si="437"/>
        <v>0.245143908306695i</v>
      </c>
      <c r="AX509" s="32">
        <f t="shared" si="462"/>
        <v>0.245143908306695</v>
      </c>
      <c r="AY509" s="32">
        <f t="shared" si="463"/>
        <v>1.5707963267948966</v>
      </c>
      <c r="AZ509" s="32" t="str">
        <f t="shared" si="438"/>
        <v>1+100.015309812627i</v>
      </c>
      <c r="BA509" s="32">
        <f t="shared" si="464"/>
        <v>100.02030892231718</v>
      </c>
      <c r="BB509" s="32">
        <f t="shared" si="465"/>
        <v>1.5607981907021036</v>
      </c>
      <c r="BC509" s="32" t="str">
        <f t="shared" si="439"/>
        <v>1+4800.73487100612i</v>
      </c>
      <c r="BD509" s="32">
        <f t="shared" si="466"/>
        <v>4800.7349751568399</v>
      </c>
      <c r="BE509" s="32">
        <f t="shared" si="467"/>
        <v>1.5705880253551365</v>
      </c>
      <c r="BF509" s="59" t="str">
        <f t="shared" si="468"/>
        <v>-0.0000638918699383736+0.00652613971931559i</v>
      </c>
      <c r="BG509" s="50">
        <f t="shared" si="469"/>
        <v>-43.706456412950487</v>
      </c>
      <c r="BH509" s="61">
        <f t="shared" si="470"/>
        <v>90.560916207749713</v>
      </c>
      <c r="BI509" s="59" t="str">
        <f t="shared" si="471"/>
        <v>-0.000568529617068114-0.000258954617521359i</v>
      </c>
      <c r="BJ509" s="64">
        <f t="shared" si="472"/>
        <v>-64.086198986487616</v>
      </c>
      <c r="BK509" s="61">
        <f t="shared" si="473"/>
        <v>-155.51162169532887</v>
      </c>
      <c r="BL509" s="59" t="str">
        <f t="shared" si="478"/>
        <v>0.0114029692767467-0.00147507149635975i</v>
      </c>
      <c r="BM509" s="64">
        <f t="shared" si="474"/>
        <v>-38.787569016903078</v>
      </c>
      <c r="BN509" s="61">
        <f t="shared" si="479"/>
        <v>-7.3707672138377474</v>
      </c>
      <c r="BO509" s="50">
        <f t="shared" si="475"/>
        <v>-64.086198986487616</v>
      </c>
      <c r="BP509" s="61">
        <f t="shared" si="476"/>
        <v>-155.51162169532887</v>
      </c>
    </row>
    <row r="510" spans="14:68" x14ac:dyDescent="0.25">
      <c r="N510" s="11">
        <v>92</v>
      </c>
      <c r="O510" s="51">
        <f t="shared" si="477"/>
        <v>831763.77110267128</v>
      </c>
      <c r="P510" s="49" t="str">
        <f t="shared" si="427"/>
        <v>37.1583961085025</v>
      </c>
      <c r="Q510" s="18" t="str">
        <f t="shared" si="428"/>
        <v>1+4096.2893171038i</v>
      </c>
      <c r="R510" s="18">
        <f t="shared" si="440"/>
        <v>4096.28943916549</v>
      </c>
      <c r="S510" s="18">
        <f t="shared" si="441"/>
        <v>1.5705522034181714</v>
      </c>
      <c r="T510" s="18" t="str">
        <f t="shared" si="429"/>
        <v>1+4.70351331507294i</v>
      </c>
      <c r="U510" s="18">
        <f t="shared" si="442"/>
        <v>4.8086419605818476</v>
      </c>
      <c r="V510" s="18">
        <f t="shared" si="443"/>
        <v>1.3613085296140373</v>
      </c>
      <c r="W510" s="32" t="str">
        <f t="shared" si="430"/>
        <v>1-41.1693512097673i</v>
      </c>
      <c r="X510" s="18">
        <f t="shared" si="444"/>
        <v>41.181494375910738</v>
      </c>
      <c r="Y510" s="18">
        <f t="shared" si="445"/>
        <v>-1.5465111881281286</v>
      </c>
      <c r="Z510" s="32" t="str">
        <f t="shared" si="431"/>
        <v>-16.2957742729734+9.91221880102406i</v>
      </c>
      <c r="AA510" s="18">
        <f t="shared" si="446"/>
        <v>19.073655672552039</v>
      </c>
      <c r="AB510" s="18">
        <f t="shared" si="447"/>
        <v>2.5951149799966</v>
      </c>
      <c r="AC510" s="32" t="str">
        <f>IMDIV(IMSUM(COMPLEX(0,2*PI()*O510*Constants!$B$61*Constants!$B$62),COMPLEX(1,0)),IMSUM(COMPLEX(0,2*PI()*O510*Constants!$B$61*Constants!$B$62),COMPLEX(2,0)))</f>
        <v>0.995464834834234+0.0474026883183061i</v>
      </c>
      <c r="AD510" s="18">
        <f t="shared" si="448"/>
        <v>0.99659282169367014</v>
      </c>
      <c r="AE510" s="18">
        <f t="shared" si="449"/>
        <v>4.7582703311150845E-2</v>
      </c>
      <c r="AF510" s="66" t="str">
        <f t="shared" si="450"/>
        <v>-0.037335637877838+0.0861133659023035i</v>
      </c>
      <c r="AG510" s="64">
        <f t="shared" si="451"/>
        <v>-20.550506310565812</v>
      </c>
      <c r="AH510" s="61">
        <f t="shared" si="452"/>
        <v>113.43980892427668</v>
      </c>
      <c r="AI510" s="50" t="str">
        <f t="shared" si="432"/>
        <v>107.538871525172</v>
      </c>
      <c r="AJ510" s="50" t="str">
        <f t="shared" si="433"/>
        <v>1+3894.14251734935i</v>
      </c>
      <c r="AK510" s="50">
        <f t="shared" si="453"/>
        <v>3894.1426457473199</v>
      </c>
      <c r="AL510" s="50">
        <f t="shared" si="454"/>
        <v>1.5705395308575205</v>
      </c>
      <c r="AM510" s="50" t="str">
        <f t="shared" si="434"/>
        <v>1+4.70351331507294i</v>
      </c>
      <c r="AN510" s="50">
        <f t="shared" si="455"/>
        <v>4.8086419605818476</v>
      </c>
      <c r="AO510" s="50">
        <f t="shared" si="456"/>
        <v>1.3613085296140373</v>
      </c>
      <c r="AP510" s="50" t="str">
        <f t="shared" si="435"/>
        <v>1-13.5234160234858i</v>
      </c>
      <c r="AQ510" s="50">
        <f t="shared" si="457"/>
        <v>13.560338526167866</v>
      </c>
      <c r="AR510" s="50">
        <f t="shared" si="458"/>
        <v>-1.4969848509322843</v>
      </c>
      <c r="AS510" s="59" t="str">
        <f t="shared" si="459"/>
        <v>-0.243108243813577-1.78423567194317i</v>
      </c>
      <c r="AT510" s="50">
        <f t="shared" si="460"/>
        <v>5.1089318432783957</v>
      </c>
      <c r="AU510" s="61">
        <f t="shared" si="461"/>
        <v>-97.758967267988623</v>
      </c>
      <c r="AV510" s="32" t="str">
        <f t="shared" si="436"/>
        <v>-0.0000333333333333333</v>
      </c>
      <c r="AW510" s="32" t="str">
        <f t="shared" si="437"/>
        <v>0.250854043470556i</v>
      </c>
      <c r="AX510" s="32">
        <f t="shared" si="462"/>
        <v>0.25085404347055601</v>
      </c>
      <c r="AY510" s="32">
        <f t="shared" si="463"/>
        <v>1.5707963267948966</v>
      </c>
      <c r="AZ510" s="32" t="str">
        <f t="shared" si="438"/>
        <v>1+102.34496565205i</v>
      </c>
      <c r="BA510" s="32">
        <f t="shared" si="464"/>
        <v>102.34985097360571</v>
      </c>
      <c r="BB510" s="32">
        <f t="shared" si="465"/>
        <v>1.5610257614123142</v>
      </c>
      <c r="BC510" s="32" t="str">
        <f t="shared" si="439"/>
        <v>1+4912.55835129841i</v>
      </c>
      <c r="BD510" s="32">
        <f t="shared" si="466"/>
        <v>4912.5584530783717</v>
      </c>
      <c r="BE510" s="32">
        <f t="shared" si="467"/>
        <v>1.570592766874652</v>
      </c>
      <c r="BF510" s="59" t="str">
        <f t="shared" si="468"/>
        <v>-0.0000610165366063343+0.00637761473739963i</v>
      </c>
      <c r="BG510" s="50">
        <f t="shared" si="469"/>
        <v>-43.90643688285305</v>
      </c>
      <c r="BH510" s="61">
        <f t="shared" si="470"/>
        <v>90.54814903557056</v>
      </c>
      <c r="BI510" s="59" t="str">
        <f t="shared" si="471"/>
        <v>-0.000546919780150324-0.000243366653702788i</v>
      </c>
      <c r="BJ510" s="64">
        <f t="shared" si="472"/>
        <v>-64.456943193418851</v>
      </c>
      <c r="BK510" s="61">
        <f t="shared" si="473"/>
        <v>-156.01204204015278</v>
      </c>
      <c r="BL510" s="59" t="str">
        <f t="shared" si="478"/>
        <v>0.0113940013394368-0.00144158283733736i</v>
      </c>
      <c r="BM510" s="64">
        <f t="shared" si="474"/>
        <v>-38.797505039574688</v>
      </c>
      <c r="BN510" s="61">
        <f t="shared" si="479"/>
        <v>-7.2108182324180854</v>
      </c>
      <c r="BO510" s="50">
        <f t="shared" si="475"/>
        <v>-64.456943193418851</v>
      </c>
      <c r="BP510" s="61">
        <f t="shared" si="476"/>
        <v>-156.01204204015278</v>
      </c>
    </row>
    <row r="511" spans="14:68" x14ac:dyDescent="0.25">
      <c r="N511" s="11">
        <v>93</v>
      </c>
      <c r="O511" s="51">
        <f t="shared" si="477"/>
        <v>851138.03820237669</v>
      </c>
      <c r="P511" s="49" t="str">
        <f t="shared" si="427"/>
        <v>37.1583961085025</v>
      </c>
      <c r="Q511" s="18" t="str">
        <f t="shared" si="428"/>
        <v>1+4191.70415254684i</v>
      </c>
      <c r="R511" s="18">
        <f t="shared" si="440"/>
        <v>4191.7042718300663</v>
      </c>
      <c r="S511" s="18">
        <f t="shared" si="441"/>
        <v>1.5705577603444421</v>
      </c>
      <c r="T511" s="18" t="str">
        <f t="shared" si="429"/>
        <v>1+4.81307221441335i</v>
      </c>
      <c r="U511" s="18">
        <f t="shared" si="442"/>
        <v>4.9158584337995164</v>
      </c>
      <c r="V511" s="18">
        <f t="shared" si="443"/>
        <v>1.3659432912767977</v>
      </c>
      <c r="W511" s="32" t="str">
        <f t="shared" si="430"/>
        <v>1-42.1283085897i</v>
      </c>
      <c r="X511" s="18">
        <f t="shared" si="444"/>
        <v>42.140175422380366</v>
      </c>
      <c r="Y511" s="18">
        <f t="shared" si="445"/>
        <v>-1.5470637754118723</v>
      </c>
      <c r="Z511" s="32" t="str">
        <f t="shared" si="431"/>
        <v>-17.1108990018747+10.1431040370415i</v>
      </c>
      <c r="AA511" s="18">
        <f t="shared" si="446"/>
        <v>19.891340431419</v>
      </c>
      <c r="AB511" s="18">
        <f t="shared" si="447"/>
        <v>2.6064943357377812</v>
      </c>
      <c r="AC511" s="32" t="str">
        <f>IMDIV(IMSUM(COMPLEX(0,2*PI()*O511*Constants!$B$61*Constants!$B$62),COMPLEX(1,0)),IMSUM(COMPLEX(0,2*PI()*O511*Constants!$B$61*Constants!$B$62),COMPLEX(2,0)))</f>
        <v>0.995667182094905+0.0463425899313864i</v>
      </c>
      <c r="AD511" s="18">
        <f t="shared" si="448"/>
        <v>0.99674508934950734</v>
      </c>
      <c r="AE511" s="18">
        <f t="shared" si="449"/>
        <v>4.651069068260686E-2</v>
      </c>
      <c r="AF511" s="66" t="str">
        <f t="shared" si="450"/>
        <v>-0.0358958799106969+0.084729927623409i</v>
      </c>
      <c r="AG511" s="64">
        <f t="shared" si="451"/>
        <v>-20.722358278382991</v>
      </c>
      <c r="AH511" s="61">
        <f t="shared" si="452"/>
        <v>112.95997104226048</v>
      </c>
      <c r="AI511" s="50" t="str">
        <f t="shared" si="432"/>
        <v>107.538871525172</v>
      </c>
      <c r="AJ511" s="50" t="str">
        <f t="shared" si="433"/>
        <v>1+3984.84874894613i</v>
      </c>
      <c r="AK511" s="50">
        <f t="shared" si="453"/>
        <v>3984.8488744214046</v>
      </c>
      <c r="AL511" s="50">
        <f t="shared" si="454"/>
        <v>1.5705453762464543</v>
      </c>
      <c r="AM511" s="50" t="str">
        <f t="shared" si="434"/>
        <v>1+4.81307221441335i</v>
      </c>
      <c r="AN511" s="50">
        <f t="shared" si="455"/>
        <v>4.9158584337995164</v>
      </c>
      <c r="AO511" s="50">
        <f t="shared" si="456"/>
        <v>1.3659432912767977</v>
      </c>
      <c r="AP511" s="50" t="str">
        <f t="shared" si="435"/>
        <v>1-13.8384168485303i</v>
      </c>
      <c r="AQ511" s="50">
        <f t="shared" si="457"/>
        <v>13.874501103596025</v>
      </c>
      <c r="AR511" s="50">
        <f t="shared" si="458"/>
        <v>-1.4986591151160058</v>
      </c>
      <c r="AS511" s="59" t="str">
        <f t="shared" si="459"/>
        <v>-0.243108563707881-1.82452112926349i</v>
      </c>
      <c r="AT511" s="50">
        <f t="shared" si="460"/>
        <v>5.2994072574997828</v>
      </c>
      <c r="AU511" s="61">
        <f t="shared" si="461"/>
        <v>-97.589678173296107</v>
      </c>
      <c r="AV511" s="32" t="str">
        <f t="shared" si="436"/>
        <v>-0.0000333333333333333</v>
      </c>
      <c r="AW511" s="32" t="str">
        <f t="shared" si="437"/>
        <v>0.256697184768712i</v>
      </c>
      <c r="AX511" s="32">
        <f t="shared" si="462"/>
        <v>0.25669718476871201</v>
      </c>
      <c r="AY511" s="32">
        <f t="shared" si="463"/>
        <v>1.5707963267948966</v>
      </c>
      <c r="AZ511" s="32" t="str">
        <f t="shared" si="438"/>
        <v>1+104.728886146957i</v>
      </c>
      <c r="BA511" s="32">
        <f t="shared" si="464"/>
        <v>104.73366027014562</v>
      </c>
      <c r="BB511" s="32">
        <f t="shared" si="465"/>
        <v>1.5612481529586519</v>
      </c>
      <c r="BC511" s="32" t="str">
        <f t="shared" si="439"/>
        <v>1+5026.98653505395i</v>
      </c>
      <c r="BD511" s="32">
        <f t="shared" si="466"/>
        <v>5026.9866345171167</v>
      </c>
      <c r="BE511" s="32">
        <f t="shared" si="467"/>
        <v>1.5705974004640151</v>
      </c>
      <c r="BF511" s="59" t="str">
        <f t="shared" si="468"/>
        <v>-0.0000582705904403576+0.00623246872187139i</v>
      </c>
      <c r="BG511" s="50">
        <f t="shared" si="469"/>
        <v>-44.106418231672713</v>
      </c>
      <c r="BH511" s="61">
        <f t="shared" si="470"/>
        <v>90.535672423680523</v>
      </c>
      <c r="BI511" s="59" t="str">
        <f t="shared" si="471"/>
        <v>-0.000525984949602551-0.000228657211698055i</v>
      </c>
      <c r="BJ511" s="64">
        <f t="shared" si="472"/>
        <v>-64.828776510055704</v>
      </c>
      <c r="BK511" s="61">
        <f t="shared" si="473"/>
        <v>-156.50435653405899</v>
      </c>
      <c r="BL511" s="59" t="str">
        <f t="shared" si="478"/>
        <v>0.0113854369500765-0.00140885059585535i</v>
      </c>
      <c r="BM511" s="64">
        <f t="shared" si="474"/>
        <v>-38.807010974172954</v>
      </c>
      <c r="BN511" s="61">
        <f t="shared" si="479"/>
        <v>-7.0540057496155839</v>
      </c>
      <c r="BO511" s="50">
        <f t="shared" si="475"/>
        <v>-64.828776510055704</v>
      </c>
      <c r="BP511" s="61">
        <f t="shared" si="476"/>
        <v>-156.50435653405899</v>
      </c>
    </row>
    <row r="512" spans="14:68" x14ac:dyDescent="0.25">
      <c r="N512" s="11">
        <v>94</v>
      </c>
      <c r="O512" s="51">
        <f t="shared" si="477"/>
        <v>870963.58995608077</v>
      </c>
      <c r="P512" s="49" t="str">
        <f t="shared" si="427"/>
        <v>37.1583961085025</v>
      </c>
      <c r="Q512" s="18" t="str">
        <f t="shared" si="428"/>
        <v>1+4289.34148501531i</v>
      </c>
      <c r="R512" s="18">
        <f t="shared" si="440"/>
        <v>4289.3416015833191</v>
      </c>
      <c r="S512" s="18">
        <f t="shared" si="441"/>
        <v>1.570563190779642</v>
      </c>
      <c r="T512" s="18" t="str">
        <f t="shared" si="429"/>
        <v>1+4.92518306835039i</v>
      </c>
      <c r="U512" s="18">
        <f t="shared" si="442"/>
        <v>5.0256768953808955</v>
      </c>
      <c r="V512" s="18">
        <f t="shared" si="443"/>
        <v>1.3704811943922202</v>
      </c>
      <c r="W512" s="32" t="str">
        <f t="shared" si="430"/>
        <v>1-43.1096029564811i</v>
      </c>
      <c r="X512" s="18">
        <f t="shared" si="444"/>
        <v>43.121199740561998</v>
      </c>
      <c r="Y512" s="18">
        <f t="shared" si="445"/>
        <v>-1.5476037982813193</v>
      </c>
      <c r="Z512" s="32" t="str">
        <f t="shared" si="431"/>
        <v>-17.9644393757296+10.3793672810791i</v>
      </c>
      <c r="AA512" s="18">
        <f t="shared" si="446"/>
        <v>20.747345546835611</v>
      </c>
      <c r="AB512" s="18">
        <f t="shared" si="447"/>
        <v>2.6176769192338556</v>
      </c>
      <c r="AC512" s="32" t="str">
        <f>IMDIV(IMSUM(COMPLEX(0,2*PI()*O512*Constants!$B$61*Constants!$B$62),COMPLEX(1,0)),IMSUM(COMPLEX(0,2*PI()*O512*Constants!$B$61*Constants!$B$62),COMPLEX(2,0)))</f>
        <v>0.995860576574995+0.0453053737012631i</v>
      </c>
      <c r="AD512" s="18">
        <f t="shared" si="448"/>
        <v>0.99689059824159876</v>
      </c>
      <c r="AE512" s="18">
        <f t="shared" si="449"/>
        <v>4.5462344537390981E-2</v>
      </c>
      <c r="AF512" s="66" t="str">
        <f t="shared" si="450"/>
        <v>-0.0345029004808279+0.0833469824977777i</v>
      </c>
      <c r="AG512" s="64">
        <f t="shared" si="451"/>
        <v>-20.895266303064112</v>
      </c>
      <c r="AH512" s="61">
        <f t="shared" si="452"/>
        <v>112.48794091836831</v>
      </c>
      <c r="AI512" s="50" t="str">
        <f t="shared" si="432"/>
        <v>107.538871525172</v>
      </c>
      <c r="AJ512" s="50" t="str">
        <f t="shared" si="433"/>
        <v>1+4077.6678000953i</v>
      </c>
      <c r="AK512" s="50">
        <f t="shared" si="453"/>
        <v>4077.6679227144091</v>
      </c>
      <c r="AL512" s="50">
        <f t="shared" si="454"/>
        <v>1.5705510885781078</v>
      </c>
      <c r="AM512" s="50" t="str">
        <f t="shared" si="434"/>
        <v>1+4.92518306835039i</v>
      </c>
      <c r="AN512" s="50">
        <f t="shared" si="455"/>
        <v>5.0256768953808955</v>
      </c>
      <c r="AO512" s="50">
        <f t="shared" si="456"/>
        <v>1.3704811943922202</v>
      </c>
      <c r="AP512" s="50" t="str">
        <f t="shared" si="435"/>
        <v>1-14.160754985361i</v>
      </c>
      <c r="AQ512" s="50">
        <f t="shared" si="457"/>
        <v>14.196019926564855</v>
      </c>
      <c r="AR512" s="50">
        <f t="shared" si="458"/>
        <v>-1.5002956599557635</v>
      </c>
      <c r="AS512" s="59" t="str">
        <f t="shared" si="459"/>
        <v>-0.243108869204571-1.86577397182972i</v>
      </c>
      <c r="AT512" s="50">
        <f t="shared" si="460"/>
        <v>5.4902956870844486</v>
      </c>
      <c r="AU512" s="61">
        <f t="shared" si="461"/>
        <v>-97.423769881740043</v>
      </c>
      <c r="AV512" s="32" t="str">
        <f t="shared" si="436"/>
        <v>-0.0000333333333333333</v>
      </c>
      <c r="AW512" s="32" t="str">
        <f t="shared" si="437"/>
        <v>0.262676430312021i</v>
      </c>
      <c r="AX512" s="32">
        <f t="shared" si="462"/>
        <v>0.26267643031202098</v>
      </c>
      <c r="AY512" s="32">
        <f t="shared" si="463"/>
        <v>1.5707963267948966</v>
      </c>
      <c r="AZ512" s="32" t="str">
        <f t="shared" si="438"/>
        <v>1+107.16833528355i</v>
      </c>
      <c r="BA512" s="32">
        <f t="shared" si="464"/>
        <v>107.17300073921317</v>
      </c>
      <c r="BB512" s="32">
        <f t="shared" si="465"/>
        <v>1.5614654831680157</v>
      </c>
      <c r="BC512" s="32" t="str">
        <f t="shared" si="439"/>
        <v>1+5144.08009361042i</v>
      </c>
      <c r="BD512" s="32">
        <f t="shared" si="466"/>
        <v>5144.0801908095273</v>
      </c>
      <c r="BE512" s="32">
        <f t="shared" si="467"/>
        <v>1.5706019285800155</v>
      </c>
      <c r="BF512" s="59" t="str">
        <f t="shared" si="468"/>
        <v>-0.0000556482101834863+0.00609062488318586i</v>
      </c>
      <c r="BG512" s="50">
        <f t="shared" si="469"/>
        <v>-44.306400419858974</v>
      </c>
      <c r="BH512" s="61">
        <f t="shared" si="470"/>
        <v>90.523479761859249</v>
      </c>
      <c r="BI512" s="59" t="str">
        <f t="shared" si="471"/>
        <v>-0.000505715180881524-0.000214782334610811i</v>
      </c>
      <c r="BJ512" s="64">
        <f t="shared" si="472"/>
        <v>-65.201666722923093</v>
      </c>
      <c r="BK512" s="61">
        <f t="shared" si="473"/>
        <v>-156.98857931977247</v>
      </c>
      <c r="BL512" s="59" t="str">
        <f t="shared" si="478"/>
        <v>0.0113772579526776-0.00137685794596128i</v>
      </c>
      <c r="BM512" s="64">
        <f t="shared" si="474"/>
        <v>-38.816104732774505</v>
      </c>
      <c r="BN512" s="61">
        <f t="shared" si="479"/>
        <v>-6.9002901198807836</v>
      </c>
      <c r="BO512" s="50">
        <f t="shared" si="475"/>
        <v>-65.201666722923093</v>
      </c>
      <c r="BP512" s="61">
        <f t="shared" si="476"/>
        <v>-156.98857931977247</v>
      </c>
    </row>
    <row r="513" spans="14:68" x14ac:dyDescent="0.25">
      <c r="N513" s="11">
        <v>95</v>
      </c>
      <c r="O513" s="51">
        <f t="shared" si="477"/>
        <v>891250.93813374708</v>
      </c>
      <c r="P513" s="49" t="str">
        <f t="shared" si="427"/>
        <v>37.1583961085025</v>
      </c>
      <c r="Q513" s="18" t="str">
        <f t="shared" si="428"/>
        <v>1+4389.2530831153i</v>
      </c>
      <c r="R513" s="18">
        <f t="shared" si="440"/>
        <v>4389.253197029896</v>
      </c>
      <c r="S513" s="18">
        <f t="shared" si="441"/>
        <v>1.5705684976030587</v>
      </c>
      <c r="T513" s="18" t="str">
        <f t="shared" si="429"/>
        <v>1+5.03990531954279i</v>
      </c>
      <c r="U513" s="18">
        <f t="shared" si="442"/>
        <v>5.1381558588617873</v>
      </c>
      <c r="V513" s="18">
        <f t="shared" si="443"/>
        <v>1.3749238970876476</v>
      </c>
      <c r="W513" s="32" t="str">
        <f t="shared" si="430"/>
        <v>1-44.1137546053729i</v>
      </c>
      <c r="X513" s="18">
        <f t="shared" si="444"/>
        <v>44.12508748300742</v>
      </c>
      <c r="Y513" s="18">
        <f t="shared" si="445"/>
        <v>-1.5481315418031494</v>
      </c>
      <c r="Z513" s="32" t="str">
        <f t="shared" si="431"/>
        <v>-18.858205868107+10.6211338030364i</v>
      </c>
      <c r="AA513" s="18">
        <f t="shared" si="446"/>
        <v>21.643484281092721</v>
      </c>
      <c r="AB513" s="18">
        <f t="shared" si="447"/>
        <v>2.6286638617405966</v>
      </c>
      <c r="AC513" s="32" t="str">
        <f>IMDIV(IMSUM(COMPLEX(0,2*PI()*O513*Constants!$B$61*Constants!$B$62),COMPLEX(1,0)),IMSUM(COMPLEX(0,2*PI()*O513*Constants!$B$61*Constants!$B$62),COMPLEX(2,0)))</f>
        <v>0.996045407800144+0.0442906005881705i</v>
      </c>
      <c r="AD513" s="18">
        <f t="shared" si="448"/>
        <v>0.99702964434374575</v>
      </c>
      <c r="AE513" s="18">
        <f t="shared" si="449"/>
        <v>4.4437174658009206E-2</v>
      </c>
      <c r="AF513" s="66" t="str">
        <f t="shared" si="450"/>
        <v>-0.0331558323832188+0.0819659161419154i</v>
      </c>
      <c r="AG513" s="64">
        <f t="shared" si="451"/>
        <v>-21.069198533478687</v>
      </c>
      <c r="AH513" s="61">
        <f t="shared" si="452"/>
        <v>112.02370415463544</v>
      </c>
      <c r="AI513" s="50" t="str">
        <f t="shared" si="432"/>
        <v>107.538871525172</v>
      </c>
      <c r="AJ513" s="50" t="str">
        <f t="shared" si="433"/>
        <v>1+4172.64888468641i</v>
      </c>
      <c r="AK513" s="50">
        <f t="shared" si="453"/>
        <v>4172.6490045143682</v>
      </c>
      <c r="AL513" s="50">
        <f t="shared" si="454"/>
        <v>1.5705566708812335</v>
      </c>
      <c r="AM513" s="50" t="str">
        <f t="shared" si="434"/>
        <v>1+5.03990531954279i</v>
      </c>
      <c r="AN513" s="50">
        <f t="shared" si="455"/>
        <v>5.1381558588617873</v>
      </c>
      <c r="AO513" s="50">
        <f t="shared" si="456"/>
        <v>1.3749238970876476</v>
      </c>
      <c r="AP513" s="50" t="str">
        <f t="shared" si="435"/>
        <v>1-14.4906013419247i</v>
      </c>
      <c r="AQ513" s="50">
        <f t="shared" si="457"/>
        <v>14.525065481800414</v>
      </c>
      <c r="AR513" s="50">
        <f t="shared" si="458"/>
        <v>-1.5018953180846293</v>
      </c>
      <c r="AS513" s="59" t="str">
        <f t="shared" si="459"/>
        <v>-0.243109160951646-1.9080160724455i</v>
      </c>
      <c r="AT513" s="50">
        <f t="shared" si="460"/>
        <v>5.6815798686675691</v>
      </c>
      <c r="AU513" s="61">
        <f t="shared" si="461"/>
        <v>-97.261195269517529</v>
      </c>
      <c r="AV513" s="32" t="str">
        <f t="shared" si="436"/>
        <v>-0.0000333333333333333</v>
      </c>
      <c r="AW513" s="32" t="str">
        <f t="shared" si="437"/>
        <v>0.268794950375615i</v>
      </c>
      <c r="AX513" s="32">
        <f t="shared" si="462"/>
        <v>0.26879495037561502</v>
      </c>
      <c r="AY513" s="32">
        <f t="shared" si="463"/>
        <v>1.5707963267948966</v>
      </c>
      <c r="AZ513" s="32" t="str">
        <f t="shared" si="438"/>
        <v>1+109.664606490051i</v>
      </c>
      <c r="BA513" s="32">
        <f t="shared" si="464"/>
        <v>109.66916575144417</v>
      </c>
      <c r="BB513" s="32">
        <f t="shared" si="465"/>
        <v>1.5616778671895919</v>
      </c>
      <c r="BC513" s="32" t="str">
        <f t="shared" si="439"/>
        <v>1+5263.90111152247i</v>
      </c>
      <c r="BD513" s="32">
        <f t="shared" si="466"/>
        <v>5263.9012065090556</v>
      </c>
      <c r="BE513" s="32">
        <f t="shared" si="467"/>
        <v>1.5706063536235197</v>
      </c>
      <c r="BF513" s="59" t="str">
        <f t="shared" si="468"/>
        <v>-0.0000531438363915633+0.00595200817139306i</v>
      </c>
      <c r="BG513" s="50">
        <f t="shared" si="469"/>
        <v>-44.50638340964062</v>
      </c>
      <c r="BH513" s="61">
        <f t="shared" si="470"/>
        <v>90.511564590103873</v>
      </c>
      <c r="BI513" s="59" t="str">
        <f t="shared" si="471"/>
        <v>-0.000486099774520799-0.000201699768511387i</v>
      </c>
      <c r="BJ513" s="64">
        <f t="shared" si="472"/>
        <v>-65.575581943119317</v>
      </c>
      <c r="BK513" s="61">
        <f t="shared" si="473"/>
        <v>-157.46473125526072</v>
      </c>
      <c r="BL513" s="59" t="str">
        <f t="shared" si="478"/>
        <v>0.0113694470078198-0.00134558841853819i</v>
      </c>
      <c r="BM513" s="64">
        <f t="shared" si="474"/>
        <v>-38.824803540973065</v>
      </c>
      <c r="BN513" s="61">
        <f t="shared" si="479"/>
        <v>-6.7496306794136576</v>
      </c>
      <c r="BO513" s="50">
        <f t="shared" si="475"/>
        <v>-65.575581943119317</v>
      </c>
      <c r="BP513" s="61">
        <f t="shared" si="476"/>
        <v>-157.46473125526072</v>
      </c>
    </row>
    <row r="514" spans="14:68" x14ac:dyDescent="0.25">
      <c r="N514" s="11">
        <v>96</v>
      </c>
      <c r="O514" s="51">
        <f t="shared" si="477"/>
        <v>912010.83935591124</v>
      </c>
      <c r="P514" s="49" t="str">
        <f t="shared" si="427"/>
        <v>37.1583961085025</v>
      </c>
      <c r="Q514" s="18" t="str">
        <f t="shared" si="428"/>
        <v>1+4491.49192129858i</v>
      </c>
      <c r="R514" s="18">
        <f t="shared" si="440"/>
        <v>4491.4920326201636</v>
      </c>
      <c r="S514" s="18">
        <f t="shared" si="441"/>
        <v>1.570573683628439</v>
      </c>
      <c r="T514" s="18" t="str">
        <f t="shared" si="429"/>
        <v>1+5.15729979524663i</v>
      </c>
      <c r="U514" s="18">
        <f t="shared" si="442"/>
        <v>5.2533552305218167</v>
      </c>
      <c r="V514" s="18">
        <f t="shared" si="443"/>
        <v>1.3792730531025579</v>
      </c>
      <c r="W514" s="32" t="str">
        <f t="shared" si="430"/>
        <v>1-45.1412959508709i</v>
      </c>
      <c r="X514" s="18">
        <f t="shared" si="444"/>
        <v>45.152370924726789</v>
      </c>
      <c r="Y514" s="18">
        <f t="shared" si="445"/>
        <v>-1.5486472846174206</v>
      </c>
      <c r="Z514" s="32" t="str">
        <f t="shared" si="431"/>
        <v>-19.7940942775668+10.8685317907234i</v>
      </c>
      <c r="AA514" s="18">
        <f t="shared" si="446"/>
        <v>22.581655199634234</v>
      </c>
      <c r="AB514" s="18">
        <f t="shared" si="447"/>
        <v>2.639456419600346</v>
      </c>
      <c r="AC514" s="32" t="str">
        <f>IMDIV(IMSUM(COMPLEX(0,2*PI()*O514*Constants!$B$61*Constants!$B$62),COMPLEX(1,0)),IMSUM(COMPLEX(0,2*PI()*O514*Constants!$B$61*Constants!$B$62),COMPLEX(2,0)))</f>
        <v>0.996222048923839+0.0432978362478634i</v>
      </c>
      <c r="AD514" s="18">
        <f t="shared" si="448"/>
        <v>0.9971625110210266</v>
      </c>
      <c r="AE514" s="18">
        <f t="shared" si="449"/>
        <v>4.3434698812686204E-2</v>
      </c>
      <c r="AF514" s="66" t="str">
        <f t="shared" si="450"/>
        <v>-0.0318537747883063+0.0805880446239518i</v>
      </c>
      <c r="AG514" s="64">
        <f t="shared" si="451"/>
        <v>-21.244123489199175</v>
      </c>
      <c r="AH514" s="61">
        <f t="shared" si="452"/>
        <v>111.56723976427983</v>
      </c>
      <c r="AI514" s="50" t="str">
        <f t="shared" si="432"/>
        <v>107.538871525172</v>
      </c>
      <c r="AJ514" s="50" t="str">
        <f t="shared" si="433"/>
        <v>1+4269.8423629477i</v>
      </c>
      <c r="AK514" s="50">
        <f t="shared" si="453"/>
        <v>4269.8424800480398</v>
      </c>
      <c r="AL514" s="50">
        <f t="shared" si="454"/>
        <v>1.5705621261156411</v>
      </c>
      <c r="AM514" s="50" t="str">
        <f t="shared" si="434"/>
        <v>1+5.15729979524663i</v>
      </c>
      <c r="AN514" s="50">
        <f t="shared" si="455"/>
        <v>5.2533552305218167</v>
      </c>
      <c r="AO514" s="50">
        <f t="shared" si="456"/>
        <v>1.3792730531025579</v>
      </c>
      <c r="AP514" s="50" t="str">
        <f t="shared" si="435"/>
        <v>1-14.8281308071256i</v>
      </c>
      <c r="AQ514" s="50">
        <f t="shared" si="457"/>
        <v>14.861812245928398</v>
      </c>
      <c r="AR514" s="50">
        <f t="shared" si="458"/>
        <v>-1.5034589048971227</v>
      </c>
      <c r="AS514" s="59" t="str">
        <f t="shared" si="459"/>
        <v>-0.243109439567941-1.95126982843217i</v>
      </c>
      <c r="AT514" s="50">
        <f t="shared" si="460"/>
        <v>5.8732432057880164</v>
      </c>
      <c r="AU514" s="61">
        <f t="shared" si="461"/>
        <v>-97.101906472585256</v>
      </c>
      <c r="AV514" s="32" t="str">
        <f t="shared" si="436"/>
        <v>-0.0000333333333333333</v>
      </c>
      <c r="AW514" s="32" t="str">
        <f t="shared" si="437"/>
        <v>0.27505598907982i</v>
      </c>
      <c r="AX514" s="32">
        <f t="shared" si="462"/>
        <v>0.27505598907981998</v>
      </c>
      <c r="AY514" s="32">
        <f t="shared" si="463"/>
        <v>1.5707963267948966</v>
      </c>
      <c r="AZ514" s="32" t="str">
        <f t="shared" si="438"/>
        <v>1+112.219023322496i</v>
      </c>
      <c r="BA514" s="32">
        <f t="shared" si="464"/>
        <v>112.22347880659778</v>
      </c>
      <c r="BB514" s="32">
        <f t="shared" si="465"/>
        <v>1.5618854175555157</v>
      </c>
      <c r="BC514" s="32" t="str">
        <f t="shared" si="439"/>
        <v>1+5386.51311947982i</v>
      </c>
      <c r="BD514" s="32">
        <f t="shared" si="466"/>
        <v>5386.5132123042467</v>
      </c>
      <c r="BE514" s="32">
        <f t="shared" si="467"/>
        <v>1.5706106779407436</v>
      </c>
      <c r="BF514" s="59" t="str">
        <f t="shared" si="468"/>
        <v>-0.0000507521596661569+0.00581654523709676i</v>
      </c>
      <c r="BG514" s="50">
        <f t="shared" si="469"/>
        <v>-44.706367164945988</v>
      </c>
      <c r="BH514" s="61">
        <f t="shared" si="470"/>
        <v>90.499920595226257</v>
      </c>
      <c r="BI514" s="59" t="str">
        <f t="shared" si="471"/>
        <v>-0.000467127359260362-0.000189368939336414i</v>
      </c>
      <c r="BJ514" s="64">
        <f t="shared" si="472"/>
        <v>-65.950490654145156</v>
      </c>
      <c r="BK514" s="61">
        <f t="shared" si="473"/>
        <v>-157.93283964049391</v>
      </c>
      <c r="BL514" s="59" t="str">
        <f t="shared" si="478"/>
        <v>0.0113619875559511-0.00131502589492783i</v>
      </c>
      <c r="BM514" s="64">
        <f t="shared" si="474"/>
        <v>-38.833123959157938</v>
      </c>
      <c r="BN514" s="61">
        <f t="shared" si="479"/>
        <v>-6.6019858773590032</v>
      </c>
      <c r="BO514" s="50">
        <f t="shared" si="475"/>
        <v>-65.950490654145156</v>
      </c>
      <c r="BP514" s="61">
        <f t="shared" si="476"/>
        <v>-157.93283964049391</v>
      </c>
    </row>
    <row r="515" spans="14:68" x14ac:dyDescent="0.25">
      <c r="N515" s="11">
        <v>97</v>
      </c>
      <c r="O515" s="51">
        <f t="shared" si="477"/>
        <v>933254.30079699249</v>
      </c>
      <c r="P515" s="49" t="str">
        <f t="shared" si="427"/>
        <v>37.1583961085025</v>
      </c>
      <c r="Q515" s="18" t="str">
        <f t="shared" si="428"/>
        <v>1+4596.11220795046i</v>
      </c>
      <c r="R515" s="18">
        <f t="shared" si="440"/>
        <v>4596.1123167380556</v>
      </c>
      <c r="S515" s="18">
        <f t="shared" si="441"/>
        <v>1.570578751605481</v>
      </c>
      <c r="T515" s="18" t="str">
        <f t="shared" si="429"/>
        <v>1+5.27742873956684i</v>
      </c>
      <c r="U515" s="18">
        <f t="shared" si="442"/>
        <v>5.3713363422155993</v>
      </c>
      <c r="V515" s="18">
        <f t="shared" si="443"/>
        <v>1.3835303099814538</v>
      </c>
      <c r="W515" s="32" t="str">
        <f t="shared" si="430"/>
        <v>1-46.1927718089978i</v>
      </c>
      <c r="X515" s="18">
        <f t="shared" si="444"/>
        <v>46.203594745410683</v>
      </c>
      <c r="Y515" s="18">
        <f t="shared" si="445"/>
        <v>-1.5491512990797089</v>
      </c>
      <c r="Z515" s="32" t="str">
        <f t="shared" si="431"/>
        <v>-20.7740897489021+11.1216924178279i</v>
      </c>
      <c r="AA515" s="18">
        <f t="shared" si="446"/>
        <v>23.563846187161591</v>
      </c>
      <c r="AB515" s="18">
        <f t="shared" si="447"/>
        <v>2.6500559673228841</v>
      </c>
      <c r="AC515" s="32" t="str">
        <f>IMDIV(IMSUM(COMPLEX(0,2*PI()*O515*Constants!$B$61*Constants!$B$62),COMPLEX(1,0)),IMSUM(COMPLEX(0,2*PI()*O515*Constants!$B$61*Constants!$B$62),COMPLEX(2,0)))</f>
        <v>0.996390857364945+0.0423266512609623i</v>
      </c>
      <c r="AD515" s="18">
        <f t="shared" si="448"/>
        <v>0.99728946953601072</v>
      </c>
      <c r="AE515" s="18">
        <f t="shared" si="449"/>
        <v>4.2454442778503486E-2</v>
      </c>
      <c r="AF515" s="66" t="str">
        <f t="shared" si="450"/>
        <v>-0.0305957976559586+0.0792146146898865i</v>
      </c>
      <c r="AG515" s="64">
        <f t="shared" si="451"/>
        <v>-21.42001010422938</v>
      </c>
      <c r="AH515" s="61">
        <f t="shared" si="452"/>
        <v>111.11852045769594</v>
      </c>
      <c r="AI515" s="50" t="str">
        <f t="shared" si="432"/>
        <v>107.538871525172</v>
      </c>
      <c r="AJ515" s="50" t="str">
        <f t="shared" si="433"/>
        <v>1+4369.29976814788i</v>
      </c>
      <c r="AK515" s="50">
        <f t="shared" si="453"/>
        <v>4369.2998825826908</v>
      </c>
      <c r="AL515" s="50">
        <f t="shared" si="454"/>
        <v>1.5705674571737667</v>
      </c>
      <c r="AM515" s="50" t="str">
        <f t="shared" si="434"/>
        <v>1+5.27742873956684i</v>
      </c>
      <c r="AN515" s="50">
        <f t="shared" si="455"/>
        <v>5.3713363422155993</v>
      </c>
      <c r="AO515" s="50">
        <f t="shared" si="456"/>
        <v>1.3835303099814538</v>
      </c>
      <c r="AP515" s="50" t="str">
        <f t="shared" si="435"/>
        <v>1-15.173522343554i</v>
      </c>
      <c r="AQ515" s="50">
        <f t="shared" si="457"/>
        <v>15.206438778041768</v>
      </c>
      <c r="AR515" s="50">
        <f t="shared" si="458"/>
        <v>-1.5049872188291713</v>
      </c>
      <c r="AS515" s="59" t="str">
        <f t="shared" si="459"/>
        <v>-0.243109705644439-1.99555817350411i</v>
      </c>
      <c r="AT515" s="50">
        <f t="shared" si="460"/>
        <v>6.0652697477545159</v>
      </c>
      <c r="AU515" s="61">
        <f t="shared" si="461"/>
        <v>-96.945855006329836</v>
      </c>
      <c r="AV515" s="32" t="str">
        <f t="shared" si="436"/>
        <v>-0.0000333333333333333</v>
      </c>
      <c r="AW515" s="32" t="str">
        <f t="shared" si="437"/>
        <v>0.281462866110231i</v>
      </c>
      <c r="AX515" s="32">
        <f t="shared" si="462"/>
        <v>0.28146286611023102</v>
      </c>
      <c r="AY515" s="32">
        <f t="shared" si="463"/>
        <v>1.5707963267948966</v>
      </c>
      <c r="AZ515" s="32" t="str">
        <f t="shared" si="438"/>
        <v>1+114.832940166501i</v>
      </c>
      <c r="BA515" s="32">
        <f t="shared" si="464"/>
        <v>114.83729423529275</v>
      </c>
      <c r="BB515" s="32">
        <f t="shared" si="465"/>
        <v>1.5620882442401722</v>
      </c>
      <c r="BC515" s="32" t="str">
        <f t="shared" si="439"/>
        <v>1+5511.98112799203i</v>
      </c>
      <c r="BD515" s="32">
        <f t="shared" si="466"/>
        <v>5511.981218703515</v>
      </c>
      <c r="BE515" s="32">
        <f t="shared" si="467"/>
        <v>1.5706149038244968</v>
      </c>
      <c r="BF515" s="59" t="str">
        <f t="shared" si="468"/>
        <v>-0.0000484681094156456+0.00568416439326506i</v>
      </c>
      <c r="BG515" s="50">
        <f t="shared" si="469"/>
        <v>-44.906351651326332</v>
      </c>
      <c r="BH515" s="61">
        <f t="shared" si="470"/>
        <v>90.488541607526571</v>
      </c>
      <c r="BI515" s="59" t="str">
        <f t="shared" si="471"/>
        <v>-0.000448785971778016-0.00017775092623165i</v>
      </c>
      <c r="BJ515" s="64">
        <f t="shared" si="472"/>
        <v>-66.326361755555723</v>
      </c>
      <c r="BK515" s="61">
        <f t="shared" si="473"/>
        <v>-158.39293793477751</v>
      </c>
      <c r="BL515" s="59" t="str">
        <f t="shared" si="478"/>
        <v>0.0113548637823343-0.00128515460058259i</v>
      </c>
      <c r="BM515" s="64">
        <f t="shared" si="474"/>
        <v>-38.841081903571812</v>
      </c>
      <c r="BN515" s="61">
        <f t="shared" si="479"/>
        <v>-6.4573133988032865</v>
      </c>
      <c r="BO515" s="50">
        <f t="shared" si="475"/>
        <v>-66.326361755555723</v>
      </c>
      <c r="BP515" s="61">
        <f t="shared" si="476"/>
        <v>-158.39293793477751</v>
      </c>
    </row>
    <row r="516" spans="14:68" x14ac:dyDescent="0.25">
      <c r="N516" s="11">
        <v>98</v>
      </c>
      <c r="O516" s="51">
        <f t="shared" si="477"/>
        <v>954992.58602143743</v>
      </c>
      <c r="P516" s="49" t="str">
        <f t="shared" si="427"/>
        <v>37.1583961085025</v>
      </c>
      <c r="Q516" s="18" t="str">
        <f t="shared" si="428"/>
        <v>1+4703.16941413173i</v>
      </c>
      <c r="R516" s="18">
        <f t="shared" si="440"/>
        <v>4703.169520443018</v>
      </c>
      <c r="S516" s="18">
        <f t="shared" si="441"/>
        <v>1.5705837042212922</v>
      </c>
      <c r="T516" s="18" t="str">
        <f t="shared" si="429"/>
        <v>1+5.4003558464598i</v>
      </c>
      <c r="U516" s="18">
        <f t="shared" si="442"/>
        <v>5.4921619849010783</v>
      </c>
      <c r="V516" s="18">
        <f t="shared" si="443"/>
        <v>1.3876973074034118</v>
      </c>
      <c r="W516" s="32" t="str">
        <f t="shared" si="430"/>
        <v>1-47.2687396861714i</v>
      </c>
      <c r="X516" s="18">
        <f t="shared" si="444"/>
        <v>47.279316318227728</v>
      </c>
      <c r="Y516" s="18">
        <f t="shared" si="445"/>
        <v>-1.5496438514002857</v>
      </c>
      <c r="Z516" s="32" t="str">
        <f t="shared" si="431"/>
        <v>-21.8002709838977+11.3807499134653i</v>
      </c>
      <c r="AA516" s="18">
        <f t="shared" si="446"/>
        <v>24.592138653728604</v>
      </c>
      <c r="AB516" s="18">
        <f t="shared" si="447"/>
        <v>2.6604639906693714</v>
      </c>
      <c r="AC516" s="32" t="str">
        <f>IMDIV(IMSUM(COMPLEX(0,2*PI()*O516*Constants!$B$61*Constants!$B$62),COMPLEX(1,0)),IMSUM(COMPLEX(0,2*PI()*O516*Constants!$B$61*Constants!$B$62),COMPLEX(2,0)))</f>
        <v>0.996552175424954+0.0413766213364831i</v>
      </c>
      <c r="AD516" s="18">
        <f t="shared" si="448"/>
        <v>0.99741077953741353</v>
      </c>
      <c r="AE516" s="18">
        <f t="shared" si="449"/>
        <v>4.1495940351067385E-2</v>
      </c>
      <c r="AF516" s="66" t="str">
        <f t="shared" si="450"/>
        <v>-0.029380945988735+0.0778468042681039i</v>
      </c>
      <c r="AG516" s="64">
        <f t="shared" si="451"/>
        <v>-21.596827766635659</v>
      </c>
      <c r="AH516" s="61">
        <f t="shared" si="452"/>
        <v>110.67751293550143</v>
      </c>
      <c r="AI516" s="50" t="str">
        <f t="shared" si="432"/>
        <v>107.538871525172</v>
      </c>
      <c r="AJ516" s="50" t="str">
        <f t="shared" si="433"/>
        <v>1+4471.07383391965i</v>
      </c>
      <c r="AK516" s="50">
        <f t="shared" si="453"/>
        <v>4471.0739457496065</v>
      </c>
      <c r="AL516" s="50">
        <f t="shared" si="454"/>
        <v>1.5705726668822064</v>
      </c>
      <c r="AM516" s="50" t="str">
        <f t="shared" si="434"/>
        <v>1+5.4003558464598i</v>
      </c>
      <c r="AN516" s="50">
        <f t="shared" si="455"/>
        <v>5.4921619849010783</v>
      </c>
      <c r="AO516" s="50">
        <f t="shared" si="456"/>
        <v>1.3876973074034118</v>
      </c>
      <c r="AP516" s="50" t="str">
        <f t="shared" si="435"/>
        <v>1-15.5269590823743i</v>
      </c>
      <c r="AQ516" s="50">
        <f t="shared" si="457"/>
        <v>15.559127814428599</v>
      </c>
      <c r="AR516" s="50">
        <f t="shared" si="458"/>
        <v>-1.5064810416389842</v>
      </c>
      <c r="AS516" s="59" t="str">
        <f t="shared" si="459"/>
        <v>-0.243109959745524-2.0409045899285i</v>
      </c>
      <c r="AT516" s="50">
        <f t="shared" si="460"/>
        <v>6.2576441687787021</v>
      </c>
      <c r="AU516" s="61">
        <f t="shared" si="461"/>
        <v>-96.792991877458519</v>
      </c>
      <c r="AV516" s="32" t="str">
        <f t="shared" si="436"/>
        <v>-0.0000333333333333333</v>
      </c>
      <c r="AW516" s="32" t="str">
        <f t="shared" si="437"/>
        <v>0.288018978477856i</v>
      </c>
      <c r="AX516" s="32">
        <f t="shared" si="462"/>
        <v>0.28801897847785601</v>
      </c>
      <c r="AY516" s="32">
        <f t="shared" si="463"/>
        <v>1.5707963267948966</v>
      </c>
      <c r="AZ516" s="32" t="str">
        <f t="shared" si="438"/>
        <v>1+117.507742955375i</v>
      </c>
      <c r="BA516" s="32">
        <f t="shared" si="464"/>
        <v>117.51199791709135</v>
      </c>
      <c r="BB516" s="32">
        <f t="shared" si="465"/>
        <v>1.5622864547181636</v>
      </c>
      <c r="BC516" s="32" t="str">
        <f t="shared" si="439"/>
        <v>1+5640.37166185802i</v>
      </c>
      <c r="BD516" s="32">
        <f t="shared" si="466"/>
        <v>5640.3717505046598</v>
      </c>
      <c r="BE516" s="32">
        <f t="shared" si="467"/>
        <v>1.570619033515398</v>
      </c>
      <c r="BF516" s="59" t="str">
        <f t="shared" si="468"/>
        <v>-0.0000462868431208183+0.00555479557787556i</v>
      </c>
      <c r="BG516" s="50">
        <f t="shared" si="469"/>
        <v>-45.106336835882715</v>
      </c>
      <c r="BH516" s="61">
        <f t="shared" si="470"/>
        <v>90.477421597541721</v>
      </c>
      <c r="BI516" s="59" t="str">
        <f t="shared" si="471"/>
        <v>-0.000431063132862486-0.000166808431668641i</v>
      </c>
      <c r="BJ516" s="64">
        <f t="shared" si="472"/>
        <v>-66.70316460251837</v>
      </c>
      <c r="BK516" s="61">
        <f t="shared" si="473"/>
        <v>-158.84506546695678</v>
      </c>
      <c r="BL516" s="59" t="str">
        <f t="shared" si="478"/>
        <v>0.0113480605835686-0.00125595909875336i</v>
      </c>
      <c r="BM516" s="64">
        <f t="shared" si="474"/>
        <v>-38.848692667104025</v>
      </c>
      <c r="BN516" s="61">
        <f t="shared" si="479"/>
        <v>-6.3155702799167779</v>
      </c>
      <c r="BO516" s="50">
        <f t="shared" si="475"/>
        <v>-66.70316460251837</v>
      </c>
      <c r="BP516" s="61">
        <f t="shared" si="476"/>
        <v>-158.84506546695678</v>
      </c>
    </row>
    <row r="517" spans="14:68" x14ac:dyDescent="0.25">
      <c r="N517" s="11">
        <v>99</v>
      </c>
      <c r="O517" s="51">
        <f t="shared" si="477"/>
        <v>977237.22095581202</v>
      </c>
      <c r="P517" s="49" t="str">
        <f t="shared" si="427"/>
        <v>37.1583961085025</v>
      </c>
      <c r="Q517" s="18" t="str">
        <f t="shared" si="428"/>
        <v>1+4812.72030299018i</v>
      </c>
      <c r="R517" s="18">
        <f t="shared" si="440"/>
        <v>4812.7204068815272</v>
      </c>
      <c r="S517" s="18">
        <f t="shared" si="441"/>
        <v>1.5705885441018139</v>
      </c>
      <c r="T517" s="18" t="str">
        <f t="shared" si="429"/>
        <v>1+5.52614629350472i</v>
      </c>
      <c r="U517" s="18">
        <f t="shared" si="442"/>
        <v>5.6158964428856732</v>
      </c>
      <c r="V517" s="18">
        <f t="shared" si="443"/>
        <v>1.3917756756418433</v>
      </c>
      <c r="W517" s="32" t="str">
        <f t="shared" si="430"/>
        <v>1-48.3697700748024i</v>
      </c>
      <c r="X517" s="18">
        <f t="shared" si="444"/>
        <v>48.380106005353589</v>
      </c>
      <c r="Y517" s="18">
        <f t="shared" si="445"/>
        <v>-1.5501252017803866</v>
      </c>
      <c r="Z517" s="32" t="str">
        <f t="shared" si="431"/>
        <v>-22.8748146505359+11.6458416333488i</v>
      </c>
      <c r="AA517" s="18">
        <f t="shared" si="446"/>
        <v>25.668711939741193</v>
      </c>
      <c r="AB517" s="18">
        <f t="shared" si="447"/>
        <v>2.6706820797710669</v>
      </c>
      <c r="AC517" s="32" t="str">
        <f>IMDIV(IMSUM(COMPLEX(0,2*PI()*O517*Constants!$B$61*Constants!$B$62),COMPLEX(1,0)),IMSUM(COMPLEX(0,2*PI()*O517*Constants!$B$61*Constants!$B$62),COMPLEX(2,0)))</f>
        <v>0.996706330885144+0.0404473274913173i</v>
      </c>
      <c r="AD517" s="18">
        <f t="shared" si="448"/>
        <v>0.99752668953152124</v>
      </c>
      <c r="AE517" s="18">
        <f t="shared" si="449"/>
        <v>4.0558733341798381E-2</v>
      </c>
      <c r="AF517" s="66" t="str">
        <f t="shared" si="450"/>
        <v>-0.0282082439098396+0.0764857232280653i</v>
      </c>
      <c r="AG517" s="64">
        <f t="shared" si="451"/>
        <v>-21.774546354185304</v>
      </c>
      <c r="AH517" s="61">
        <f t="shared" si="452"/>
        <v>110.24417818651284</v>
      </c>
      <c r="AI517" s="50" t="str">
        <f t="shared" si="432"/>
        <v>107.538871525172</v>
      </c>
      <c r="AJ517" s="50" t="str">
        <f t="shared" si="433"/>
        <v>1+4575.21852221983i</v>
      </c>
      <c r="AK517" s="50">
        <f t="shared" si="453"/>
        <v>4575.2186315042263</v>
      </c>
      <c r="AL517" s="50">
        <f t="shared" si="454"/>
        <v>1.5705777580032161</v>
      </c>
      <c r="AM517" s="50" t="str">
        <f t="shared" si="434"/>
        <v>1+5.52614629350472i</v>
      </c>
      <c r="AN517" s="50">
        <f t="shared" si="455"/>
        <v>5.6158964428856732</v>
      </c>
      <c r="AO517" s="50">
        <f t="shared" si="456"/>
        <v>1.3917756756418433</v>
      </c>
      <c r="AP517" s="50" t="str">
        <f t="shared" si="435"/>
        <v>1-15.8886284204236i</v>
      </c>
      <c r="AQ517" s="50">
        <f t="shared" si="457"/>
        <v>15.920066365511564</v>
      </c>
      <c r="AR517" s="50">
        <f t="shared" si="458"/>
        <v>-1.5079411386883612</v>
      </c>
      <c r="AS517" s="59" t="str">
        <f t="shared" si="459"/>
        <v>-0.243110202410175-2.08733312097591i</v>
      </c>
      <c r="AT517" s="50">
        <f t="shared" si="460"/>
        <v>6.4503517474116112</v>
      </c>
      <c r="AU517" s="61">
        <f t="shared" si="461"/>
        <v>-96.643267688451829</v>
      </c>
      <c r="AV517" s="32" t="str">
        <f t="shared" si="436"/>
        <v>-0.0000333333333333333</v>
      </c>
      <c r="AW517" s="32" t="str">
        <f t="shared" si="437"/>
        <v>0.294727802320251i</v>
      </c>
      <c r="AX517" s="32">
        <f t="shared" si="462"/>
        <v>0.29472780232025098</v>
      </c>
      <c r="AY517" s="32">
        <f t="shared" si="463"/>
        <v>1.5707963267948966</v>
      </c>
      <c r="AZ517" s="32" t="str">
        <f t="shared" si="438"/>
        <v>1+120.244849904964i</v>
      </c>
      <c r="BA517" s="32">
        <f t="shared" si="464"/>
        <v>120.24900801531513</v>
      </c>
      <c r="BB517" s="32">
        <f t="shared" si="465"/>
        <v>1.5624801540209758</v>
      </c>
      <c r="BC517" s="32" t="str">
        <f t="shared" si="439"/>
        <v>1+5771.75279543827i</v>
      </c>
      <c r="BD517" s="32">
        <f t="shared" si="466"/>
        <v>5771.7528820670659</v>
      </c>
      <c r="BE517" s="32">
        <f t="shared" si="467"/>
        <v>1.5706230692030634</v>
      </c>
      <c r="BF517" s="59" t="str">
        <f t="shared" si="468"/>
        <v>-0.0000442037360823973+0.00542837031737816i</v>
      </c>
      <c r="BG517" s="50">
        <f t="shared" si="469"/>
        <v>-45.306322687196683</v>
      </c>
      <c r="BH517" s="61">
        <f t="shared" si="470"/>
        <v>90.466554672866621</v>
      </c>
      <c r="BI517" s="59" t="str">
        <f t="shared" si="471"/>
        <v>-0.000413945919905292-0.000156505748669181i</v>
      </c>
      <c r="BJ517" s="64">
        <f t="shared" si="472"/>
        <v>-67.080869041382002</v>
      </c>
      <c r="BK517" s="61">
        <f t="shared" si="473"/>
        <v>-159.28926714062055</v>
      </c>
      <c r="BL517" s="59" t="str">
        <f t="shared" si="478"/>
        <v>0.0113415635356122-0.00122742428421952i</v>
      </c>
      <c r="BM517" s="64">
        <f t="shared" si="474"/>
        <v>-38.855970939785095</v>
      </c>
      <c r="BN517" s="61">
        <f t="shared" si="479"/>
        <v>-6.1767130155851957</v>
      </c>
      <c r="BO517" s="50">
        <f t="shared" si="475"/>
        <v>-67.080869041382002</v>
      </c>
      <c r="BP517" s="61">
        <f t="shared" si="476"/>
        <v>-159.28926714062055</v>
      </c>
    </row>
    <row r="518" spans="14:68" x14ac:dyDescent="0.25">
      <c r="N518" s="11">
        <v>100</v>
      </c>
      <c r="O518" s="51">
        <f t="shared" si="477"/>
        <v>1000000</v>
      </c>
      <c r="P518" s="49" t="str">
        <f t="shared" si="427"/>
        <v>37.1583961085025</v>
      </c>
      <c r="Q518" s="18" t="str">
        <f t="shared" si="428"/>
        <v>1+4924.82295985715i</v>
      </c>
      <c r="R518" s="18">
        <f t="shared" si="440"/>
        <v>4924.8230613836413</v>
      </c>
      <c r="S518" s="18">
        <f t="shared" si="441"/>
        <v>1.5705932738132142</v>
      </c>
      <c r="T518" s="18" t="str">
        <f t="shared" si="429"/>
        <v>1+5.65486677646164i</v>
      </c>
      <c r="U518" s="18">
        <f t="shared" si="442"/>
        <v>5.7426055288109126</v>
      </c>
      <c r="V518" s="18">
        <f t="shared" si="443"/>
        <v>1.3957670341481223</v>
      </c>
      <c r="W518" s="32" t="str">
        <f t="shared" si="430"/>
        <v>1-49.4964467557766i</v>
      </c>
      <c r="X518" s="18">
        <f t="shared" si="444"/>
        <v>49.506547460385768</v>
      </c>
      <c r="Y518" s="18">
        <f t="shared" si="445"/>
        <v>-1.5505956045456188</v>
      </c>
      <c r="Z518" s="32" t="str">
        <f t="shared" si="431"/>
        <v>-24+11.9171081326173i</v>
      </c>
      <c r="AA518" s="18">
        <f t="shared" si="446"/>
        <v>26.795847929194061</v>
      </c>
      <c r="AB518" s="18">
        <f t="shared" si="447"/>
        <v>2.6807119223117835</v>
      </c>
      <c r="AC518" s="32" t="str">
        <f>IMDIV(IMSUM(COMPLEX(0,2*PI()*O518*Constants!$B$61*Constants!$B$62),COMPLEX(1,0)),IMSUM(COMPLEX(0,2*PI()*O518*Constants!$B$61*Constants!$B$62),COMPLEX(2,0)))</f>
        <v>0.996853637583937+0.0395383562073364i</v>
      </c>
      <c r="AD518" s="18">
        <f t="shared" si="448"/>
        <v>0.99763743733678389</v>
      </c>
      <c r="AE518" s="18">
        <f t="shared" si="449"/>
        <v>3.9642371563868489E-2</v>
      </c>
      <c r="AF518" s="66" t="str">
        <f t="shared" si="450"/>
        <v>-0.0270766985540219+0.0751324143690588i</v>
      </c>
      <c r="AG518" s="64">
        <f t="shared" si="451"/>
        <v>-21.953136266115404</v>
      </c>
      <c r="AH518" s="61">
        <f t="shared" si="452"/>
        <v>109.81847178867932</v>
      </c>
      <c r="AI518" s="50" t="str">
        <f t="shared" si="432"/>
        <v>107.538871525172</v>
      </c>
      <c r="AJ518" s="50" t="str">
        <f t="shared" si="433"/>
        <v>1+4681.78905194065i</v>
      </c>
      <c r="AK518" s="50">
        <f t="shared" si="453"/>
        <v>4681.7891587374297</v>
      </c>
      <c r="AL518" s="50">
        <f t="shared" si="454"/>
        <v>1.5705827332361739</v>
      </c>
      <c r="AM518" s="50" t="str">
        <f t="shared" si="434"/>
        <v>1+5.65486677646164i</v>
      </c>
      <c r="AN518" s="50">
        <f t="shared" si="455"/>
        <v>5.7426055288109126</v>
      </c>
      <c r="AO518" s="50">
        <f t="shared" si="456"/>
        <v>1.3957670341481223</v>
      </c>
      <c r="AP518" s="50" t="str">
        <f t="shared" si="435"/>
        <v>1-16.2587221195723i</v>
      </c>
      <c r="AQ518" s="50">
        <f t="shared" si="457"/>
        <v>16.289445815050605</v>
      </c>
      <c r="AR518" s="50">
        <f t="shared" si="458"/>
        <v>-1.5093682592239914</v>
      </c>
      <c r="AS518" s="59" t="str">
        <f t="shared" si="459"/>
        <v>-0.243110434153121-2.13486838366841i</v>
      </c>
      <c r="AT518" s="50">
        <f t="shared" si="460"/>
        <v>6.6433783463160712</v>
      </c>
      <c r="AU518" s="61">
        <f t="shared" si="461"/>
        <v>-96.496632734917057</v>
      </c>
      <c r="AV518" s="32" t="str">
        <f t="shared" si="436"/>
        <v>-0.0000333333333333333</v>
      </c>
      <c r="AW518" s="32" t="str">
        <f t="shared" si="437"/>
        <v>0.30159289474462i</v>
      </c>
      <c r="AX518" s="32">
        <f t="shared" si="462"/>
        <v>0.30159289474461998</v>
      </c>
      <c r="AY518" s="32">
        <f t="shared" si="463"/>
        <v>1.5707963267948966</v>
      </c>
      <c r="AZ518" s="32" t="str">
        <f t="shared" si="438"/>
        <v>1+123.0457122656i</v>
      </c>
      <c r="BA518" s="32">
        <f t="shared" si="464"/>
        <v>123.04977572896598</v>
      </c>
      <c r="BB518" s="32">
        <f t="shared" si="465"/>
        <v>1.5626694447923701</v>
      </c>
      <c r="BC518" s="32" t="str">
        <f t="shared" si="439"/>
        <v>1+5906.19418874883i</v>
      </c>
      <c r="BD518" s="32">
        <f t="shared" si="466"/>
        <v>5906.1942734057138</v>
      </c>
      <c r="BE518" s="32">
        <f t="shared" si="467"/>
        <v>1.5706270130272679</v>
      </c>
      <c r="BF518" s="59" t="str">
        <f t="shared" si="468"/>
        <v>-0.0000422143716289083+0.00530482169095979i</v>
      </c>
      <c r="BG518" s="50">
        <f t="shared" si="469"/>
        <v>-45.506309175263326</v>
      </c>
      <c r="BH518" s="61">
        <f t="shared" si="470"/>
        <v>90.455935075047009</v>
      </c>
      <c r="BI518" s="59" t="str">
        <f t="shared" si="471"/>
        <v>-0.000397421035623919-0.000146808725470508i</v>
      </c>
      <c r="BJ518" s="64">
        <f t="shared" si="472"/>
        <v>-67.459445441378719</v>
      </c>
      <c r="BK518" s="61">
        <f t="shared" si="473"/>
        <v>-159.72559313627363</v>
      </c>
      <c r="BL518" s="59" t="str">
        <f t="shared" si="478"/>
        <v>0.0113353588632427-0.00119953537706714i</v>
      </c>
      <c r="BM518" s="64">
        <f t="shared" si="474"/>
        <v>-38.862930828947214</v>
      </c>
      <c r="BN518" s="61">
        <f t="shared" si="479"/>
        <v>-6.0406976598700135</v>
      </c>
      <c r="BO518" s="50">
        <f t="shared" si="475"/>
        <v>-67.459445441378719</v>
      </c>
      <c r="BP518" s="61">
        <f t="shared" si="476"/>
        <v>-159.72559313627363</v>
      </c>
    </row>
    <row r="519" spans="14:68" x14ac:dyDescent="0.25">
      <c r="N519" s="11">
        <v>1</v>
      </c>
      <c r="O519" s="51">
        <f>10^(6+(N519/100))</f>
        <v>1023292.9922807553</v>
      </c>
      <c r="P519" s="49" t="str">
        <f t="shared" si="427"/>
        <v>37.1583961085025</v>
      </c>
      <c r="Q519" s="18" t="str">
        <f t="shared" si="428"/>
        <v>1+5039.53682304519i</v>
      </c>
      <c r="R519" s="18">
        <f t="shared" si="440"/>
        <v>5039.5369222606569</v>
      </c>
      <c r="S519" s="18">
        <f t="shared" si="441"/>
        <v>1.5705978958632478</v>
      </c>
      <c r="T519" s="18" t="str">
        <f t="shared" si="429"/>
        <v>1+5.78658554463446i</v>
      </c>
      <c r="U519" s="18">
        <f t="shared" si="442"/>
        <v>5.8723566193967205</v>
      </c>
      <c r="V519" s="18">
        <f t="shared" si="443"/>
        <v>1.3996729902528418</v>
      </c>
      <c r="W519" s="32" t="str">
        <f t="shared" si="430"/>
        <v>1-50.6493671079837i</v>
      </c>
      <c r="X519" s="18">
        <f t="shared" si="444"/>
        <v>50.65923793780658</v>
      </c>
      <c r="Y519" s="18">
        <f t="shared" si="445"/>
        <v>-1.551055308276557</v>
      </c>
      <c r="Z519" s="32" t="str">
        <f t="shared" si="431"/>
        <v>-25.1782137012725+12.1946932403593i</v>
      </c>
      <c r="AA519" s="18">
        <f t="shared" si="446"/>
        <v>27.975935880921142</v>
      </c>
      <c r="AB519" s="18">
        <f t="shared" si="447"/>
        <v>2.6905552968004041</v>
      </c>
      <c r="AC519" s="32" t="str">
        <f>IMDIV(IMSUM(COMPLEX(0,2*PI()*O519*Constants!$B$61*Constants!$B$62),COMPLEX(1,0)),IMSUM(COMPLEX(0,2*PI()*O519*Constants!$B$61*Constants!$B$62),COMPLEX(2,0)))</f>
        <v>0.996994395974741+0.0386492995676886i</v>
      </c>
      <c r="AD519" s="18">
        <f t="shared" si="448"/>
        <v>0.99774325052195245</v>
      </c>
      <c r="AE519" s="18">
        <f t="shared" si="449"/>
        <v>3.8746412807738946E-2</v>
      </c>
      <c r="AF519" s="66" t="str">
        <f t="shared" si="450"/>
        <v>-0.0259853037623484+0.0737878546151127i</v>
      </c>
      <c r="AG519" s="64">
        <f t="shared" si="451"/>
        <v>-22.13256845117288</v>
      </c>
      <c r="AH519" s="61">
        <f t="shared" si="452"/>
        <v>109.40034421116566</v>
      </c>
      <c r="AI519" s="50" t="str">
        <f t="shared" si="432"/>
        <v>107.538871525172</v>
      </c>
      <c r="AJ519" s="50" t="str">
        <f t="shared" si="433"/>
        <v>1+4790.84192818763i</v>
      </c>
      <c r="AK519" s="50">
        <f t="shared" si="453"/>
        <v>4790.8420325534189</v>
      </c>
      <c r="AL519" s="50">
        <f t="shared" si="454"/>
        <v>1.5705875952190136</v>
      </c>
      <c r="AM519" s="50" t="str">
        <f t="shared" si="434"/>
        <v>1+5.78658554463446i</v>
      </c>
      <c r="AN519" s="50">
        <f t="shared" si="455"/>
        <v>5.8723566193967205</v>
      </c>
      <c r="AO519" s="50">
        <f t="shared" si="456"/>
        <v>1.3996729902528418</v>
      </c>
      <c r="AP519" s="50" t="str">
        <f t="shared" si="435"/>
        <v>1-16.6374364083984i</v>
      </c>
      <c r="AQ519" s="50">
        <f t="shared" si="457"/>
        <v>16.667462021660668</v>
      </c>
      <c r="AR519" s="50">
        <f t="shared" si="458"/>
        <v>-1.5107631366583276</v>
      </c>
      <c r="AS519" s="59" t="str">
        <f t="shared" si="459"/>
        <v>-0.243110655465914-2.1835355818318i</v>
      </c>
      <c r="AT519" s="50">
        <f t="shared" si="460"/>
        <v>6.8367103924021331</v>
      </c>
      <c r="AU519" s="61">
        <f t="shared" si="461"/>
        <v>-96.353037096175512</v>
      </c>
      <c r="AV519" s="32" t="str">
        <f t="shared" si="436"/>
        <v>-0.0000333333333333333</v>
      </c>
      <c r="AW519" s="32" t="str">
        <f t="shared" si="437"/>
        <v>0.308617895713837i</v>
      </c>
      <c r="AX519" s="32">
        <f t="shared" si="462"/>
        <v>0.30861789571383702</v>
      </c>
      <c r="AY519" s="32">
        <f t="shared" si="463"/>
        <v>1.5707963267948966</v>
      </c>
      <c r="AZ519" s="32" t="str">
        <f t="shared" si="438"/>
        <v>1+125.911815091583i</v>
      </c>
      <c r="BA519" s="32">
        <f t="shared" si="464"/>
        <v>125.9157860621812</v>
      </c>
      <c r="BB519" s="32">
        <f t="shared" si="465"/>
        <v>1.5628544273425278</v>
      </c>
      <c r="BC519" s="32" t="str">
        <f t="shared" si="439"/>
        <v>1+6043.767124396i</v>
      </c>
      <c r="BD519" s="32">
        <f t="shared" si="466"/>
        <v>6043.7672071258594</v>
      </c>
      <c r="BE519" s="32">
        <f t="shared" si="467"/>
        <v>1.5706308670790783</v>
      </c>
      <c r="BF519" s="59" t="str">
        <f t="shared" si="468"/>
        <v>-0.0000403145317642563+0.00518408429559403i</v>
      </c>
      <c r="BG519" s="50">
        <f t="shared" si="469"/>
        <v>-45.706296271427966</v>
      </c>
      <c r="BH519" s="61">
        <f t="shared" si="470"/>
        <v>90.445557176542167</v>
      </c>
      <c r="BI519" s="59" t="str">
        <f t="shared" si="471"/>
        <v>-0.00038147487296185-0.000137684727959328i</v>
      </c>
      <c r="BJ519" s="64">
        <f t="shared" si="472"/>
        <v>-67.838864722600846</v>
      </c>
      <c r="BK519" s="61">
        <f t="shared" si="473"/>
        <v>-160.15409861229216</v>
      </c>
      <c r="BL519" s="59" t="str">
        <f t="shared" si="478"/>
        <v>0.011329433410887-0.00117227791652027i</v>
      </c>
      <c r="BM519" s="64">
        <f t="shared" si="474"/>
        <v>-38.869585879025848</v>
      </c>
      <c r="BN519" s="61">
        <f t="shared" si="479"/>
        <v>-5.9074799196333174</v>
      </c>
      <c r="BO519" s="50">
        <f t="shared" si="475"/>
        <v>-67.838864722600846</v>
      </c>
      <c r="BP519" s="61">
        <f t="shared" si="476"/>
        <v>-160.15409861229216</v>
      </c>
    </row>
    <row r="520" spans="14:68" x14ac:dyDescent="0.25">
      <c r="N520" s="11">
        <v>2</v>
      </c>
      <c r="O520" s="51">
        <f t="shared" ref="O520:O560" si="480">10^(6+(N520/100))</f>
        <v>1047128.5480509007</v>
      </c>
      <c r="P520" s="49" t="str">
        <f t="shared" si="427"/>
        <v>37.1583961085025</v>
      </c>
      <c r="Q520" s="18" t="str">
        <f t="shared" si="428"/>
        <v>1+5156.92271536295i</v>
      </c>
      <c r="R520" s="18">
        <f t="shared" si="440"/>
        <v>5156.9228123199964</v>
      </c>
      <c r="S520" s="18">
        <f t="shared" si="441"/>
        <v>1.5706024127025859</v>
      </c>
      <c r="T520" s="18" t="str">
        <f t="shared" si="429"/>
        <v>1+5.92137243705754i</v>
      </c>
      <c r="U520" s="18">
        <f t="shared" si="442"/>
        <v>6.0052186919665758</v>
      </c>
      <c r="V520" s="18">
        <f t="shared" si="443"/>
        <v>1.4034951379786058</v>
      </c>
      <c r="W520" s="32" t="str">
        <f t="shared" si="430"/>
        <v>1-51.829142425055i</v>
      </c>
      <c r="X520" s="18">
        <f t="shared" si="444"/>
        <v>51.838788609656341</v>
      </c>
      <c r="Y520" s="18">
        <f t="shared" si="445"/>
        <v>-1.5515045559365734</v>
      </c>
      <c r="Z520" s="32" t="str">
        <f t="shared" si="431"/>
        <v>-26.4119549035796+12.4787441358731i</v>
      </c>
      <c r="AA520" s="18">
        <f t="shared" si="446"/>
        <v>29.211477488092068</v>
      </c>
      <c r="AB520" s="18">
        <f t="shared" si="447"/>
        <v>2.700214065956843</v>
      </c>
      <c r="AC520" s="32" t="str">
        <f>IMDIV(IMSUM(COMPLEX(0,2*PI()*O520*Constants!$B$61*Constants!$B$62),COMPLEX(1,0)),IMSUM(COMPLEX(0,2*PI()*O520*Constants!$B$61*Constants!$B$62),COMPLEX(2,0)))</f>
        <v>0.997128893664617+0.0377797553737799i</v>
      </c>
      <c r="AD520" s="18">
        <f t="shared" si="448"/>
        <v>0.99784434682816436</v>
      </c>
      <c r="AE520" s="18">
        <f t="shared" si="449"/>
        <v>3.787042280720266E-2</v>
      </c>
      <c r="AF520" s="66" t="str">
        <f t="shared" si="450"/>
        <v>-0.0249330435742742+0.0724529563926768i</v>
      </c>
      <c r="AG520" s="64">
        <f t="shared" si="451"/>
        <v>-22.312814432076888</v>
      </c>
      <c r="AH520" s="61">
        <f t="shared" si="452"/>
        <v>108.98974111593995</v>
      </c>
      <c r="AI520" s="50" t="str">
        <f t="shared" si="432"/>
        <v>107.538871525172</v>
      </c>
      <c r="AJ520" s="50" t="str">
        <f t="shared" si="433"/>
        <v>1+4902.43497223921i</v>
      </c>
      <c r="AK520" s="50">
        <f t="shared" si="453"/>
        <v>4902.4350742293436</v>
      </c>
      <c r="AL520" s="50">
        <f t="shared" si="454"/>
        <v>1.5705923465296217</v>
      </c>
      <c r="AM520" s="50" t="str">
        <f t="shared" si="434"/>
        <v>1+5.92137243705754i</v>
      </c>
      <c r="AN520" s="50">
        <f t="shared" si="455"/>
        <v>6.0052186919665758</v>
      </c>
      <c r="AO520" s="50">
        <f t="shared" si="456"/>
        <v>1.4034951379786058</v>
      </c>
      <c r="AP520" s="50" t="str">
        <f t="shared" si="435"/>
        <v>1-17.0249720862308i</v>
      </c>
      <c r="AQ520" s="50">
        <f t="shared" si="457"/>
        <v>17.054315422699851</v>
      </c>
      <c r="AR520" s="50">
        <f t="shared" si="458"/>
        <v>-1.5121264888496722</v>
      </c>
      <c r="AS520" s="59" t="str">
        <f t="shared" si="459"/>
        <v>-0.243110866817996-2.23336051945902i</v>
      </c>
      <c r="AT520" s="50">
        <f t="shared" si="460"/>
        <v>7.0303348573499571</v>
      </c>
      <c r="AU520" s="61">
        <f t="shared" si="461"/>
        <v>-96.212430719412708</v>
      </c>
      <c r="AV520" s="32" t="str">
        <f t="shared" si="436"/>
        <v>-0.0000333333333333333</v>
      </c>
      <c r="AW520" s="32" t="str">
        <f t="shared" si="437"/>
        <v>0.315806529976402i</v>
      </c>
      <c r="AX520" s="32">
        <f t="shared" si="462"/>
        <v>0.31580652997640202</v>
      </c>
      <c r="AY520" s="32">
        <f t="shared" si="463"/>
        <v>1.5707963267948966</v>
      </c>
      <c r="AZ520" s="32" t="str">
        <f t="shared" si="438"/>
        <v>1+128.844678028567i</v>
      </c>
      <c r="BA520" s="32">
        <f t="shared" si="464"/>
        <v>128.84855861159289</v>
      </c>
      <c r="BB520" s="32">
        <f t="shared" si="465"/>
        <v>1.5630351997009777</v>
      </c>
      <c r="BC520" s="32" t="str">
        <f t="shared" si="439"/>
        <v>1+6184.54454537122i</v>
      </c>
      <c r="BD520" s="32">
        <f t="shared" si="466"/>
        <v>6184.5446262179166</v>
      </c>
      <c r="BE520" s="32">
        <f t="shared" si="467"/>
        <v>1.5706346334019639</v>
      </c>
      <c r="BF520" s="59" t="str">
        <f t="shared" si="468"/>
        <v>-0.000038500188235332+0.00506609421186043i</v>
      </c>
      <c r="BG520" s="50">
        <f t="shared" si="469"/>
        <v>-45.906283948324997</v>
      </c>
      <c r="BH520" s="61">
        <f t="shared" si="470"/>
        <v>90.435415477755996</v>
      </c>
      <c r="BI520" s="59" t="str">
        <f t="shared" si="471"/>
        <v>-0.000366093576142227-0.000129102600195019i</v>
      </c>
      <c r="BJ520" s="64">
        <f t="shared" si="472"/>
        <v>-68.219098380401874</v>
      </c>
      <c r="BK520" s="61">
        <f t="shared" si="473"/>
        <v>-160.57484340630404</v>
      </c>
      <c r="BL520" s="59" t="str">
        <f t="shared" si="478"/>
        <v>0.0113237746147635-0.00114563775483049i</v>
      </c>
      <c r="BM520" s="64">
        <f t="shared" si="474"/>
        <v>-38.875949090975034</v>
      </c>
      <c r="BN520" s="61">
        <f t="shared" si="479"/>
        <v>-5.7770152416567067</v>
      </c>
      <c r="BO520" s="50">
        <f t="shared" si="475"/>
        <v>-68.219098380401874</v>
      </c>
      <c r="BP520" s="61">
        <f t="shared" si="476"/>
        <v>-160.57484340630404</v>
      </c>
    </row>
    <row r="521" spans="14:68" x14ac:dyDescent="0.25">
      <c r="N521" s="11">
        <v>3</v>
      </c>
      <c r="O521" s="51">
        <f t="shared" si="480"/>
        <v>1071519.3052376076</v>
      </c>
      <c r="P521" s="49" t="str">
        <f t="shared" si="427"/>
        <v>37.1583961085025</v>
      </c>
      <c r="Q521" s="18" t="str">
        <f t="shared" si="428"/>
        <v>1+5277.04287636435i</v>
      </c>
      <c r="R521" s="18">
        <f t="shared" si="440"/>
        <v>5277.0429711143852</v>
      </c>
      <c r="S521" s="18">
        <f t="shared" si="441"/>
        <v>1.570606826726116</v>
      </c>
      <c r="T521" s="18" t="str">
        <f t="shared" si="429"/>
        <v>1+6.05929891952539i</v>
      </c>
      <c r="U521" s="18">
        <f t="shared" si="442"/>
        <v>6.1412623617755946</v>
      </c>
      <c r="V521" s="18">
        <f t="shared" si="443"/>
        <v>1.4072350569584215</v>
      </c>
      <c r="W521" s="32" t="str">
        <f t="shared" si="430"/>
        <v>1-53.0363982394799i</v>
      </c>
      <c r="X521" s="18">
        <f t="shared" si="444"/>
        <v>53.045824889586804</v>
      </c>
      <c r="Y521" s="18">
        <f t="shared" si="445"/>
        <v>-1.5519435849969587</v>
      </c>
      <c r="Z521" s="32" t="str">
        <f t="shared" si="431"/>
        <v>-27.703840537422+12.7694114267035i</v>
      </c>
      <c r="AA521" s="18">
        <f t="shared" si="446"/>
        <v>30.505092176673266</v>
      </c>
      <c r="AB521" s="18">
        <f t="shared" si="447"/>
        <v>2.7096901702323333</v>
      </c>
      <c r="AC521" s="32" t="str">
        <f>IMDIV(IMSUM(COMPLEX(0,2*PI()*O521*Constants!$B$61*Constants!$B$62),COMPLEX(1,0)),IMSUM(COMPLEX(0,2*PI()*O521*Constants!$B$61*Constants!$B$62),COMPLEX(2,0)))</f>
        <v>0.997257405934142+0.0369293272443292i</v>
      </c>
      <c r="AD521" s="18">
        <f t="shared" si="448"/>
        <v>0.99794093457539501</v>
      </c>
      <c r="AE521" s="18">
        <f t="shared" si="449"/>
        <v>3.7013975196761008E-2</v>
      </c>
      <c r="AF521" s="66" t="str">
        <f t="shared" si="450"/>
        <v>-0.0239188955127292+0.0711285691683447i</v>
      </c>
      <c r="AG521" s="64">
        <f t="shared" si="451"/>
        <v>-22.49384632656675</v>
      </c>
      <c r="AH521" s="61">
        <f t="shared" si="452"/>
        <v>108.58660365737794</v>
      </c>
      <c r="AI521" s="50" t="str">
        <f t="shared" si="432"/>
        <v>107.538871525172</v>
      </c>
      <c r="AJ521" s="50" t="str">
        <f t="shared" si="433"/>
        <v>1+5016.62735220448i</v>
      </c>
      <c r="AK521" s="50">
        <f t="shared" si="453"/>
        <v>5016.6274518730343</v>
      </c>
      <c r="AL521" s="50">
        <f t="shared" si="454"/>
        <v>1.570596989687205</v>
      </c>
      <c r="AM521" s="50" t="str">
        <f t="shared" si="434"/>
        <v>1+6.05929891952539i</v>
      </c>
      <c r="AN521" s="50">
        <f t="shared" si="455"/>
        <v>6.1412623617755946</v>
      </c>
      <c r="AO521" s="50">
        <f t="shared" si="456"/>
        <v>1.4072350569584215</v>
      </c>
      <c r="AP521" s="50" t="str">
        <f t="shared" si="435"/>
        <v>1-17.4215346296154i</v>
      </c>
      <c r="AQ521" s="50">
        <f t="shared" si="457"/>
        <v>17.450211140581899</v>
      </c>
      <c r="AR521" s="50">
        <f t="shared" si="458"/>
        <v>-1.5134590183811241</v>
      </c>
      <c r="AS521" s="59" t="str">
        <f t="shared" si="459"/>
        <v>-0.243111068657664-2.28436961439179i</v>
      </c>
      <c r="AT521" s="50">
        <f t="shared" si="460"/>
        <v>7.2242392385401253</v>
      </c>
      <c r="AU521" s="61">
        <f t="shared" si="461"/>
        <v>-96.074763497710265</v>
      </c>
      <c r="AV521" s="32" t="str">
        <f t="shared" si="436"/>
        <v>-0.0000333333333333333</v>
      </c>
      <c r="AW521" s="32" t="str">
        <f t="shared" si="437"/>
        <v>0.323162609041354i</v>
      </c>
      <c r="AX521" s="32">
        <f t="shared" si="462"/>
        <v>0.32316260904135402</v>
      </c>
      <c r="AY521" s="32">
        <f t="shared" si="463"/>
        <v>1.5707963267948966</v>
      </c>
      <c r="AZ521" s="32" t="str">
        <f t="shared" si="438"/>
        <v>1+131.845856119303i</v>
      </c>
      <c r="BA521" s="32">
        <f t="shared" si="464"/>
        <v>131.84964837204515</v>
      </c>
      <c r="BB521" s="32">
        <f t="shared" si="465"/>
        <v>1.5632118576683309</v>
      </c>
      <c r="BC521" s="32" t="str">
        <f t="shared" si="439"/>
        <v>1+6328.60109372653i</v>
      </c>
      <c r="BD521" s="32">
        <f t="shared" si="466"/>
        <v>6328.6011727329314</v>
      </c>
      <c r="BE521" s="32">
        <f t="shared" si="467"/>
        <v>1.5706383139928781</v>
      </c>
      <c r="BF521" s="59" t="str">
        <f t="shared" si="468"/>
        <v>-0.000036767494000795+0.0049507889705167i</v>
      </c>
      <c r="BG521" s="50">
        <f t="shared" si="469"/>
        <v>-46.106272179820394</v>
      </c>
      <c r="BH521" s="61">
        <f t="shared" si="470"/>
        <v>90.425504604134787</v>
      </c>
      <c r="BI521" s="59" t="str">
        <f t="shared" si="471"/>
        <v>-0.000351263097880005-0.000121032623331543i</v>
      </c>
      <c r="BJ521" s="64">
        <f t="shared" si="472"/>
        <v>-68.600118506387162</v>
      </c>
      <c r="BK521" s="61">
        <f t="shared" si="473"/>
        <v>-160.98789173848729</v>
      </c>
      <c r="BL521" s="59" t="str">
        <f t="shared" si="478"/>
        <v>0.0113183704762728-0.00111960105122814i</v>
      </c>
      <c r="BM521" s="64">
        <f t="shared" si="474"/>
        <v>-38.882032941280244</v>
      </c>
      <c r="BN521" s="61">
        <f t="shared" si="479"/>
        <v>-5.6492588935754418</v>
      </c>
      <c r="BO521" s="50">
        <f t="shared" si="475"/>
        <v>-68.600118506387162</v>
      </c>
      <c r="BP521" s="61">
        <f t="shared" si="476"/>
        <v>-160.98789173848729</v>
      </c>
    </row>
    <row r="522" spans="14:68" x14ac:dyDescent="0.25">
      <c r="N522" s="11">
        <v>4</v>
      </c>
      <c r="O522" s="51">
        <f t="shared" si="480"/>
        <v>1096478.196143186</v>
      </c>
      <c r="P522" s="49" t="str">
        <f t="shared" si="427"/>
        <v>37.1583961085025</v>
      </c>
      <c r="Q522" s="18" t="str">
        <f t="shared" si="428"/>
        <v>1+5399.96099534871i</v>
      </c>
      <c r="R522" s="18">
        <f t="shared" si="440"/>
        <v>5399.9610879419706</v>
      </c>
      <c r="S522" s="18">
        <f t="shared" si="441"/>
        <v>1.5706111402742107</v>
      </c>
      <c r="T522" s="18" t="str">
        <f t="shared" si="429"/>
        <v>1+6.20043812248468i</v>
      </c>
      <c r="U522" s="18">
        <f t="shared" si="442"/>
        <v>6.2805599201632765</v>
      </c>
      <c r="V522" s="18">
        <f t="shared" si="443"/>
        <v>1.4108943114539145</v>
      </c>
      <c r="W522" s="32" t="str">
        <f t="shared" si="430"/>
        <v>1-54.2717746542711i</v>
      </c>
      <c r="X522" s="18">
        <f t="shared" si="444"/>
        <v>54.280986764464615</v>
      </c>
      <c r="Y522" s="18">
        <f t="shared" si="445"/>
        <v>-1.5523726275593728</v>
      </c>
      <c r="Z522" s="32" t="str">
        <f t="shared" si="431"/>
        <v>-29.0566108654353+13.0668492284955i</v>
      </c>
      <c r="AA522" s="18">
        <f t="shared" si="446"/>
        <v>31.859522654075754</v>
      </c>
      <c r="AB522" s="18">
        <f t="shared" si="447"/>
        <v>2.7189856214823003</v>
      </c>
      <c r="AC522" s="32" t="str">
        <f>IMDIV(IMSUM(COMPLEX(0,2*PI()*O522*Constants!$B$61*Constants!$B$62),COMPLEX(1,0)),IMSUM(COMPLEX(0,2*PI()*O522*Constants!$B$61*Constants!$B$62),COMPLEX(2,0)))</f>
        <v>0.997380196238857+0.0360976246978165i</v>
      </c>
      <c r="AD522" s="18">
        <f t="shared" si="448"/>
        <v>0.99803321305369652</v>
      </c>
      <c r="AE522" s="18">
        <f t="shared" si="449"/>
        <v>3.6176651461121964E-2</v>
      </c>
      <c r="AF522" s="66" t="str">
        <f t="shared" si="450"/>
        <v>-0.0229418336600156+0.0698154811247392i</v>
      </c>
      <c r="AG522" s="64">
        <f t="shared" si="451"/>
        <v>-22.67563686520678</v>
      </c>
      <c r="AH522" s="61">
        <f t="shared" si="452"/>
        <v>108.19086877854448</v>
      </c>
      <c r="AI522" s="50" t="str">
        <f t="shared" si="432"/>
        <v>107.538871525172</v>
      </c>
      <c r="AJ522" s="50" t="str">
        <f t="shared" si="433"/>
        <v>1+5133.4796143948i</v>
      </c>
      <c r="AK522" s="50">
        <f t="shared" si="453"/>
        <v>5133.47971179462</v>
      </c>
      <c r="AL522" s="50">
        <f t="shared" si="454"/>
        <v>1.5706015271536267</v>
      </c>
      <c r="AM522" s="50" t="str">
        <f t="shared" si="434"/>
        <v>1+6.20043812248468i</v>
      </c>
      <c r="AN522" s="50">
        <f t="shared" si="455"/>
        <v>6.2805599201632765</v>
      </c>
      <c r="AO522" s="50">
        <f t="shared" si="456"/>
        <v>1.4108943114539145</v>
      </c>
      <c r="AP522" s="50" t="str">
        <f t="shared" si="435"/>
        <v>1-17.8273343012619i</v>
      </c>
      <c r="AQ522" s="50">
        <f t="shared" si="457"/>
        <v>17.855359091571053</v>
      </c>
      <c r="AR522" s="50">
        <f t="shared" si="458"/>
        <v>-1.5147614128380849</v>
      </c>
      <c r="AS522" s="59" t="str">
        <f t="shared" si="459"/>
        <v>-0.243111261413053-2.33658991232771i</v>
      </c>
      <c r="AT522" s="50">
        <f t="shared" si="460"/>
        <v>7.4184115404080311</v>
      </c>
      <c r="AU522" s="61">
        <f t="shared" si="461"/>
        <v>-95.939985342274966</v>
      </c>
      <c r="AV522" s="32" t="str">
        <f t="shared" si="436"/>
        <v>-0.0000333333333333333</v>
      </c>
      <c r="AW522" s="32" t="str">
        <f t="shared" si="437"/>
        <v>0.330690033199183i</v>
      </c>
      <c r="AX522" s="32">
        <f t="shared" si="462"/>
        <v>0.330690033199183</v>
      </c>
      <c r="AY522" s="32">
        <f t="shared" si="463"/>
        <v>1.5707963267948966</v>
      </c>
      <c r="AZ522" s="32" t="str">
        <f t="shared" si="438"/>
        <v>1+134.916940628139i</v>
      </c>
      <c r="BA522" s="32">
        <f t="shared" si="464"/>
        <v>134.92064656106859</v>
      </c>
      <c r="BB522" s="32">
        <f t="shared" si="465"/>
        <v>1.5633844948668494</v>
      </c>
      <c r="BC522" s="32" t="str">
        <f t="shared" si="439"/>
        <v>1+6476.01315015068i</v>
      </c>
      <c r="BD522" s="32">
        <f t="shared" si="466"/>
        <v>6476.013227358676</v>
      </c>
      <c r="BE522" s="32">
        <f t="shared" si="467"/>
        <v>1.5706419108033187</v>
      </c>
      <c r="BF522" s="59" t="str">
        <f t="shared" si="468"/>
        <v>-0.0000351127750830776+0.00483810751980953i</v>
      </c>
      <c r="BG522" s="50">
        <f t="shared" si="469"/>
        <v>-46.306260940955895</v>
      </c>
      <c r="BH522" s="61">
        <f t="shared" si="470"/>
        <v>90.415819303330679</v>
      </c>
      <c r="BI522" s="59" t="str">
        <f t="shared" si="471"/>
        <v>-0.000336969252783424-0.000113446473234791i</v>
      </c>
      <c r="BJ522" s="64">
        <f t="shared" si="472"/>
        <v>-68.98189780616265</v>
      </c>
      <c r="BK522" s="61">
        <f t="shared" si="473"/>
        <v>-161.39331191812482</v>
      </c>
      <c r="BL522" s="59" t="str">
        <f t="shared" si="478"/>
        <v>0.0113132095365859-0.00109415426593992i</v>
      </c>
      <c r="BM522" s="64">
        <f t="shared" si="474"/>
        <v>-38.887849400547893</v>
      </c>
      <c r="BN522" s="61">
        <f t="shared" si="479"/>
        <v>-5.524166038944311</v>
      </c>
      <c r="BO522" s="50">
        <f t="shared" si="475"/>
        <v>-68.98189780616265</v>
      </c>
      <c r="BP522" s="61">
        <f t="shared" si="476"/>
        <v>-161.39331191812482</v>
      </c>
    </row>
    <row r="523" spans="14:68" x14ac:dyDescent="0.25">
      <c r="N523" s="11">
        <v>5</v>
      </c>
      <c r="O523" s="51">
        <f t="shared" si="480"/>
        <v>1122018.4543019643</v>
      </c>
      <c r="P523" s="49" t="str">
        <f t="shared" si="427"/>
        <v>37.1583961085025</v>
      </c>
      <c r="Q523" s="18" t="str">
        <f t="shared" si="428"/>
        <v>1+5525.74224512974i</v>
      </c>
      <c r="R523" s="18">
        <f t="shared" si="440"/>
        <v>5525.7423356153204</v>
      </c>
      <c r="S523" s="18">
        <f t="shared" si="441"/>
        <v>1.5706153556339699</v>
      </c>
      <c r="T523" s="18" t="str">
        <f t="shared" si="429"/>
        <v>1+6.34486487980901i</v>
      </c>
      <c r="U523" s="18">
        <f t="shared" si="442"/>
        <v>6.4231853735536708</v>
      </c>
      <c r="V523" s="18">
        <f t="shared" si="443"/>
        <v>1.4144744494677839</v>
      </c>
      <c r="W523" s="32" t="str">
        <f t="shared" si="430"/>
        <v>1-55.5359266823558i</v>
      </c>
      <c r="X523" s="18">
        <f t="shared" si="444"/>
        <v>55.544929133702198</v>
      </c>
      <c r="Y523" s="18">
        <f t="shared" si="445"/>
        <v>-1.5527919104756822</v>
      </c>
      <c r="Z523" s="32" t="str">
        <f t="shared" si="431"/>
        <v>-30.4731352948541+13.3712152467086i</v>
      </c>
      <c r="AA523" s="18">
        <f t="shared" si="446"/>
        <v>33.277640719742969</v>
      </c>
      <c r="AB523" s="18">
        <f t="shared" si="447"/>
        <v>2.7281024968075576</v>
      </c>
      <c r="AC523" s="32" t="str">
        <f>IMDIV(IMSUM(COMPLEX(0,2*PI()*O523*Constants!$B$61*Constants!$B$62),COMPLEX(1,0)),IMSUM(COMPLEX(0,2*PI()*O523*Constants!$B$61*Constants!$B$62),COMPLEX(2,0)))</f>
        <v>0.997497516692699+0.0352842632195587i</v>
      </c>
      <c r="AD523" s="18">
        <f t="shared" si="448"/>
        <v>0.99812137289963321</v>
      </c>
      <c r="AE523" s="18">
        <f t="shared" si="449"/>
        <v>3.5358040877548881E-2</v>
      </c>
      <c r="AF523" s="66" t="str">
        <f t="shared" si="450"/>
        <v>-0.0220008315242268+0.0685144209536979i</v>
      </c>
      <c r="AG523" s="64">
        <f t="shared" si="451"/>
        <v>-22.858159406120834</v>
      </c>
      <c r="AH523" s="61">
        <f t="shared" si="452"/>
        <v>107.80246950297612</v>
      </c>
      <c r="AI523" s="50" t="str">
        <f t="shared" si="432"/>
        <v>107.538871525172</v>
      </c>
      <c r="AJ523" s="50" t="str">
        <f t="shared" si="433"/>
        <v>1+5253.0537154263i</v>
      </c>
      <c r="AK523" s="50">
        <f t="shared" si="453"/>
        <v>5253.0538106090307</v>
      </c>
      <c r="AL523" s="50">
        <f t="shared" si="454"/>
        <v>1.5706059613347103</v>
      </c>
      <c r="AM523" s="50" t="str">
        <f t="shared" si="434"/>
        <v>1+6.34486487980901i</v>
      </c>
      <c r="AN523" s="50">
        <f t="shared" si="455"/>
        <v>6.4231853735536708</v>
      </c>
      <c r="AO523" s="50">
        <f t="shared" si="456"/>
        <v>1.4144744494677839</v>
      </c>
      <c r="AP523" s="50" t="str">
        <f t="shared" si="435"/>
        <v>1-18.2425862615276i</v>
      </c>
      <c r="AQ523" s="50">
        <f t="shared" si="457"/>
        <v>18.269974097115611</v>
      </c>
      <c r="AR523" s="50">
        <f t="shared" si="458"/>
        <v>-1.5160343450840332</v>
      </c>
      <c r="AS523" s="59" t="str">
        <f t="shared" si="459"/>
        <v>-0.24311144549302-2.39004910116018i</v>
      </c>
      <c r="AT523" s="50">
        <f t="shared" si="460"/>
        <v>7.6128402562357564</v>
      </c>
      <c r="AU523" s="61">
        <f t="shared" si="461"/>
        <v>-95.808046249166551</v>
      </c>
      <c r="AV523" s="32" t="str">
        <f t="shared" si="436"/>
        <v>-0.0000333333333333333</v>
      </c>
      <c r="AW523" s="32" t="str">
        <f t="shared" si="437"/>
        <v>0.338392793589814i</v>
      </c>
      <c r="AX523" s="32">
        <f t="shared" si="462"/>
        <v>0.338392793589814</v>
      </c>
      <c r="AY523" s="32">
        <f t="shared" si="463"/>
        <v>1.5707963267948966</v>
      </c>
      <c r="AZ523" s="32" t="str">
        <f t="shared" si="438"/>
        <v>1+138.059559884733i</v>
      </c>
      <c r="BA523" s="32">
        <f t="shared" si="464"/>
        <v>138.06318146256874</v>
      </c>
      <c r="BB523" s="32">
        <f t="shared" si="465"/>
        <v>1.5635532027898758</v>
      </c>
      <c r="BC523" s="32" t="str">
        <f t="shared" si="439"/>
        <v>1+6626.8588744672i</v>
      </c>
      <c r="BD523" s="32">
        <f t="shared" si="466"/>
        <v>6626.8589499177269</v>
      </c>
      <c r="BE523" s="32">
        <f t="shared" si="467"/>
        <v>1.5706454257403619</v>
      </c>
      <c r="BF523" s="59" t="str">
        <f t="shared" si="468"/>
        <v>-0.0000335325227864093+0.00472799019350759i</v>
      </c>
      <c r="BG523" s="50">
        <f t="shared" si="469"/>
        <v>-46.506250207896464</v>
      </c>
      <c r="BH523" s="61">
        <f t="shared" si="470"/>
        <v>90.406354442428679</v>
      </c>
      <c r="BI523" s="59" t="str">
        <f t="shared" si="471"/>
        <v>-0.000323197766998529-0.000106317177077384i</v>
      </c>
      <c r="BJ523" s="64">
        <f t="shared" si="472"/>
        <v>-69.364409614017276</v>
      </c>
      <c r="BK523" s="61">
        <f t="shared" si="473"/>
        <v>-161.7911760545953</v>
      </c>
      <c r="BL523" s="59" t="str">
        <f t="shared" si="478"/>
        <v>0.0113082808523726-0.00106928415427516i</v>
      </c>
      <c r="BM523" s="64">
        <f t="shared" si="474"/>
        <v>-38.893409951660693</v>
      </c>
      <c r="BN523" s="61">
        <f t="shared" si="479"/>
        <v>-5.4016918067378628</v>
      </c>
      <c r="BO523" s="50">
        <f t="shared" si="475"/>
        <v>-69.364409614017276</v>
      </c>
      <c r="BP523" s="61">
        <f t="shared" si="476"/>
        <v>-161.7911760545953</v>
      </c>
    </row>
    <row r="524" spans="14:68" x14ac:dyDescent="0.25">
      <c r="N524" s="11">
        <v>6</v>
      </c>
      <c r="O524" s="51">
        <f t="shared" si="480"/>
        <v>1148153.6214968837</v>
      </c>
      <c r="P524" s="49" t="str">
        <f t="shared" si="427"/>
        <v>37.1583961085025</v>
      </c>
      <c r="Q524" s="18" t="str">
        <f t="shared" si="428"/>
        <v>1+5654.45331659099i</v>
      </c>
      <c r="R524" s="18">
        <f t="shared" si="440"/>
        <v>5654.4534050168677</v>
      </c>
      <c r="S524" s="18">
        <f t="shared" si="441"/>
        <v>1.5706194750404325</v>
      </c>
      <c r="T524" s="18" t="str">
        <f t="shared" si="429"/>
        <v>1+6.49265576847683i</v>
      </c>
      <c r="U524" s="18">
        <f t="shared" si="442"/>
        <v>6.5692144833256476</v>
      </c>
      <c r="V524" s="18">
        <f t="shared" si="443"/>
        <v>1.4179770019450879</v>
      </c>
      <c r="W524" s="32" t="str">
        <f t="shared" si="430"/>
        <v>1-56.8295245938725i</v>
      </c>
      <c r="X524" s="18">
        <f t="shared" si="444"/>
        <v>56.83832215649543</v>
      </c>
      <c r="Y524" s="18">
        <f t="shared" si="445"/>
        <v>-1.5532016554652275</v>
      </c>
      <c r="Z524" s="32" t="str">
        <f t="shared" si="431"/>
        <v>-31.9564184639101+13.6826708602345i</v>
      </c>
      <c r="AA524" s="18">
        <f t="shared" si="446"/>
        <v>34.762453349987318</v>
      </c>
      <c r="AB524" s="18">
        <f t="shared" si="447"/>
        <v>2.7370429325772774</v>
      </c>
      <c r="AC524" s="32" t="str">
        <f>IMDIV(IMSUM(COMPLEX(0,2*PI()*O524*Constants!$B$61*Constants!$B$62),COMPLEX(1,0)),IMSUM(COMPLEX(0,2*PI()*O524*Constants!$B$61*Constants!$B$62),COMPLEX(2,0)))</f>
        <v>0.997609608533859+0.0344888643145745i</v>
      </c>
      <c r="AD524" s="18">
        <f t="shared" si="448"/>
        <v>0.99820559645835916</v>
      </c>
      <c r="AE524" s="18">
        <f t="shared" si="449"/>
        <v>3.4557740451740829E-2</v>
      </c>
      <c r="AF524" s="66" t="str">
        <f t="shared" si="450"/>
        <v>-0.0210948646975347+0.0672260597469501i</v>
      </c>
      <c r="AG524" s="64">
        <f t="shared" si="451"/>
        <v>-23.041387946838636</v>
      </c>
      <c r="AH524" s="61">
        <f t="shared" si="452"/>
        <v>107.42133522091272</v>
      </c>
      <c r="AI524" s="50" t="str">
        <f t="shared" si="432"/>
        <v>107.538871525172</v>
      </c>
      <c r="AJ524" s="50" t="str">
        <f t="shared" si="433"/>
        <v>1+5375.41305507012i</v>
      </c>
      <c r="AK524" s="50">
        <f t="shared" si="453"/>
        <v>5375.413148086227</v>
      </c>
      <c r="AL524" s="50">
        <f t="shared" si="454"/>
        <v>1.570610294581517</v>
      </c>
      <c r="AM524" s="50" t="str">
        <f t="shared" si="434"/>
        <v>1+6.49265576847683i</v>
      </c>
      <c r="AN524" s="50">
        <f t="shared" si="455"/>
        <v>6.5692144833256476</v>
      </c>
      <c r="AO524" s="50">
        <f t="shared" si="456"/>
        <v>1.4179770019450879</v>
      </c>
      <c r="AP524" s="50" t="str">
        <f t="shared" si="435"/>
        <v>1-18.6675106824984i</v>
      </c>
      <c r="AQ524" s="50">
        <f t="shared" si="457"/>
        <v>18.694275997780494</v>
      </c>
      <c r="AR524" s="50">
        <f t="shared" si="458"/>
        <v>-1.517278473534317</v>
      </c>
      <c r="AS524" s="59" t="str">
        <f t="shared" si="459"/>
        <v>-0.243111621288025-2.44477552565898i</v>
      </c>
      <c r="AT524" s="50">
        <f t="shared" si="460"/>
        <v>7.8075143503930944</v>
      </c>
      <c r="AU524" s="61">
        <f t="shared" si="461"/>
        <v>-95.678896360820957</v>
      </c>
      <c r="AV524" s="32" t="str">
        <f t="shared" si="436"/>
        <v>-0.0000333333333333333</v>
      </c>
      <c r="AW524" s="32" t="str">
        <f t="shared" si="437"/>
        <v>0.346274974318764i</v>
      </c>
      <c r="AX524" s="32">
        <f t="shared" si="462"/>
        <v>0.34627497431876397</v>
      </c>
      <c r="AY524" s="32">
        <f t="shared" si="463"/>
        <v>1.5707963267948966</v>
      </c>
      <c r="AZ524" s="32" t="str">
        <f t="shared" si="438"/>
        <v>1+141.275380147413i</v>
      </c>
      <c r="BA524" s="32">
        <f t="shared" si="464"/>
        <v>141.27891929016181</v>
      </c>
      <c r="BB524" s="32">
        <f t="shared" si="465"/>
        <v>1.5637180708501472</v>
      </c>
      <c r="BC524" s="32" t="str">
        <f t="shared" si="439"/>
        <v>1+6781.21824707581i</v>
      </c>
      <c r="BD524" s="32">
        <f t="shared" si="466"/>
        <v>6781.2183208088736</v>
      </c>
      <c r="BE524" s="32">
        <f t="shared" si="467"/>
        <v>1.5706488606676734</v>
      </c>
      <c r="BF524" s="59" t="str">
        <f t="shared" si="468"/>
        <v>-0.000032023386264457+0.00462037867964263i</v>
      </c>
      <c r="BG524" s="50">
        <f t="shared" si="469"/>
        <v>-46.706239957879518</v>
      </c>
      <c r="BH524" s="61">
        <f t="shared" si="470"/>
        <v>90.397105005236497</v>
      </c>
      <c r="BI524" s="59" t="str">
        <f t="shared" si="471"/>
        <v>-0.000309934324170784-0.0000996190691767494i</v>
      </c>
      <c r="BJ524" s="64">
        <f t="shared" si="472"/>
        <v>-69.747627904718158</v>
      </c>
      <c r="BK524" s="61">
        <f t="shared" si="473"/>
        <v>-162.18155977385075</v>
      </c>
      <c r="BL524" s="59" t="str">
        <f t="shared" si="478"/>
        <v>0.0113035739726207-0.00104497776078448i</v>
      </c>
      <c r="BM524" s="64">
        <f t="shared" si="474"/>
        <v>-38.898725607486455</v>
      </c>
      <c r="BN524" s="61">
        <f t="shared" si="479"/>
        <v>-5.2817913555845015</v>
      </c>
      <c r="BO524" s="50">
        <f t="shared" si="475"/>
        <v>-69.747627904718158</v>
      </c>
      <c r="BP524" s="61">
        <f t="shared" si="476"/>
        <v>-162.18155977385075</v>
      </c>
    </row>
    <row r="525" spans="14:68" x14ac:dyDescent="0.25">
      <c r="N525" s="11">
        <v>7</v>
      </c>
      <c r="O525" s="51">
        <f t="shared" si="480"/>
        <v>1174897.5549395324</v>
      </c>
      <c r="P525" s="49" t="str">
        <f t="shared" si="427"/>
        <v>37.1583961085025</v>
      </c>
      <c r="Q525" s="18" t="str">
        <f t="shared" si="428"/>
        <v>1+5786.16245404623i</v>
      </c>
      <c r="R525" s="18">
        <f t="shared" si="440"/>
        <v>5786.1625404592878</v>
      </c>
      <c r="S525" s="18">
        <f t="shared" si="441"/>
        <v>1.5706235006777618</v>
      </c>
      <c r="T525" s="18" t="str">
        <f t="shared" si="429"/>
        <v>1+6.64388914917357i</v>
      </c>
      <c r="U525" s="18">
        <f t="shared" si="442"/>
        <v>6.7187248065764908</v>
      </c>
      <c r="V525" s="18">
        <f t="shared" si="443"/>
        <v>1.4214034820581549</v>
      </c>
      <c r="W525" s="32" t="str">
        <f t="shared" si="430"/>
        <v>1-58.1532542715566i</v>
      </c>
      <c r="X525" s="18">
        <f t="shared" si="444"/>
        <v>58.161851607151533</v>
      </c>
      <c r="Y525" s="18">
        <f t="shared" si="445"/>
        <v>-1.5536020792295704</v>
      </c>
      <c r="Z525" s="32" t="str">
        <f t="shared" si="431"/>
        <v>-33.5096066150722+14.001381206962i</v>
      </c>
      <c r="AA525" s="18">
        <f t="shared" si="446"/>
        <v>36.317109069962591</v>
      </c>
      <c r="AB525" s="18">
        <f t="shared" si="447"/>
        <v>2.7458091186449183</v>
      </c>
      <c r="AC525" s="32" t="str">
        <f>IMDIV(IMSUM(COMPLEX(0,2*PI()*O525*Constants!$B$61*Constants!$B$62),COMPLEX(1,0)),IMSUM(COMPLEX(0,2*PI()*O525*Constants!$B$61*Constants!$B$62),COMPLEX(2,0)))</f>
        <v>0.997716702573494+0.0337110555473269i</v>
      </c>
      <c r="AD525" s="18">
        <f t="shared" si="448"/>
        <v>0.99828605813175642</v>
      </c>
      <c r="AE525" s="18">
        <f t="shared" si="449"/>
        <v>3.3775354847878233E-2</v>
      </c>
      <c r="AF525" s="66" t="str">
        <f t="shared" si="450"/>
        <v>-0.0202229133092061+0.0659510129656869i</v>
      </c>
      <c r="AG525" s="64">
        <f t="shared" si="451"/>
        <v>-23.225297133432132</v>
      </c>
      <c r="AH525" s="61">
        <f t="shared" si="452"/>
        <v>107.04739196907923</v>
      </c>
      <c r="AI525" s="50" t="str">
        <f t="shared" si="432"/>
        <v>107.538871525172</v>
      </c>
      <c r="AJ525" s="50" t="str">
        <f t="shared" si="433"/>
        <v>1+5500.62250986774i</v>
      </c>
      <c r="AK525" s="50">
        <f t="shared" si="453"/>
        <v>5500.6226007665418</v>
      </c>
      <c r="AL525" s="50">
        <f t="shared" si="454"/>
        <v>1.5706145291915909</v>
      </c>
      <c r="AM525" s="50" t="str">
        <f t="shared" si="434"/>
        <v>1+6.64388914917357i</v>
      </c>
      <c r="AN525" s="50">
        <f t="shared" si="455"/>
        <v>6.7187248065764908</v>
      </c>
      <c r="AO525" s="50">
        <f t="shared" si="456"/>
        <v>1.4214034820581549</v>
      </c>
      <c r="AP525" s="50" t="str">
        <f t="shared" si="435"/>
        <v>1-19.1023328647267i</v>
      </c>
      <c r="AQ525" s="50">
        <f t="shared" si="457"/>
        <v>19.128489769838545</v>
      </c>
      <c r="AR525" s="50">
        <f t="shared" si="458"/>
        <v>-1.5184944424277276</v>
      </c>
      <c r="AS525" s="59" t="str">
        <f t="shared" si="459"/>
        <v>-0.243111789170951-2.50079820249898i</v>
      </c>
      <c r="AT525" s="50">
        <f t="shared" si="460"/>
        <v>8.0024232410347711</v>
      </c>
      <c r="AU525" s="61">
        <f t="shared" si="461"/>
        <v>-95.552486022653412</v>
      </c>
      <c r="AV525" s="32" t="str">
        <f t="shared" si="436"/>
        <v>-0.0000333333333333333</v>
      </c>
      <c r="AW525" s="32" t="str">
        <f t="shared" si="437"/>
        <v>0.35434075462259i</v>
      </c>
      <c r="AX525" s="32">
        <f t="shared" si="462"/>
        <v>0.35434075462259002</v>
      </c>
      <c r="AY525" s="32">
        <f t="shared" si="463"/>
        <v>1.5707963267948966</v>
      </c>
      <c r="AZ525" s="32" t="str">
        <f t="shared" si="438"/>
        <v>1+144.566106486647i</v>
      </c>
      <c r="BA525" s="32">
        <f t="shared" si="464"/>
        <v>144.56956507062111</v>
      </c>
      <c r="BB525" s="32">
        <f t="shared" si="465"/>
        <v>1.5638791864270203</v>
      </c>
      <c r="BC525" s="32" t="str">
        <f t="shared" si="439"/>
        <v>1+6939.17311135907i</v>
      </c>
      <c r="BD525" s="32">
        <f t="shared" si="466"/>
        <v>6939.1731834137654</v>
      </c>
      <c r="BE525" s="32">
        <f t="shared" si="467"/>
        <v>1.570652217406497</v>
      </c>
      <c r="BF525" s="59" t="str">
        <f t="shared" si="468"/>
        <v>-0.0000305821654219069+0.00451521598994333i</v>
      </c>
      <c r="BG525" s="50">
        <f t="shared" si="469"/>
        <v>-46.906230169166676</v>
      </c>
      <c r="BH525" s="61">
        <f t="shared" si="470"/>
        <v>90.388066089635373</v>
      </c>
      <c r="BI525" s="59" t="str">
        <f t="shared" si="471"/>
        <v>-0.000297164607815494-0.0000933277463252241i</v>
      </c>
      <c r="BJ525" s="64">
        <f t="shared" si="472"/>
        <v>-70.131527302598812</v>
      </c>
      <c r="BK525" s="61">
        <f t="shared" si="473"/>
        <v>-162.56454194128537</v>
      </c>
      <c r="BL525" s="59" t="str">
        <f t="shared" si="478"/>
        <v>0.0112990789164974-0.00102122241349278i</v>
      </c>
      <c r="BM525" s="64">
        <f t="shared" si="474"/>
        <v>-38.903806928131885</v>
      </c>
      <c r="BN525" s="61">
        <f t="shared" si="479"/>
        <v>-5.1644199330180305</v>
      </c>
      <c r="BO525" s="50">
        <f t="shared" si="475"/>
        <v>-70.131527302598812</v>
      </c>
      <c r="BP525" s="61">
        <f t="shared" si="476"/>
        <v>-162.56454194128537</v>
      </c>
    </row>
    <row r="526" spans="14:68" x14ac:dyDescent="0.25">
      <c r="N526" s="11">
        <v>8</v>
      </c>
      <c r="O526" s="51">
        <f t="shared" si="480"/>
        <v>1202264.4346174158</v>
      </c>
      <c r="P526" s="49" t="str">
        <f t="shared" si="427"/>
        <v>37.1583961085025</v>
      </c>
      <c r="Q526" s="18" t="str">
        <f t="shared" si="428"/>
        <v>1+5920.93949142352i</v>
      </c>
      <c r="R526" s="18">
        <f t="shared" si="440"/>
        <v>5920.9395758695773</v>
      </c>
      <c r="S526" s="18">
        <f t="shared" si="441"/>
        <v>1.5706274346804037</v>
      </c>
      <c r="T526" s="18" t="str">
        <f t="shared" si="429"/>
        <v>1+6.79864520783945i</v>
      </c>
      <c r="U526" s="18">
        <f t="shared" si="442"/>
        <v>6.8717957378023344</v>
      </c>
      <c r="V526" s="18">
        <f t="shared" si="443"/>
        <v>1.4247553845701</v>
      </c>
      <c r="W526" s="32" t="str">
        <f t="shared" si="430"/>
        <v>1-59.5078175744047i</v>
      </c>
      <c r="X526" s="18">
        <f t="shared" si="444"/>
        <v>59.516219238696841</v>
      </c>
      <c r="Y526" s="18">
        <f t="shared" si="445"/>
        <v>-1.553993393564767</v>
      </c>
      <c r="Z526" s="32" t="str">
        <f t="shared" si="431"/>
        <v>-35.1359942686483+14.3275152713357i</v>
      </c>
      <c r="AA526" s="18">
        <f t="shared" si="446"/>
        <v>37.944904626271544</v>
      </c>
      <c r="AB526" s="18">
        <f t="shared" si="447"/>
        <v>2.7544032927662023</v>
      </c>
      <c r="AC526" s="32" t="str">
        <f>IMDIV(IMSUM(COMPLEX(0,2*PI()*O526*Constants!$B$61*Constants!$B$62),COMPLEX(1,0)),IMSUM(COMPLEX(0,2*PI()*O526*Constants!$B$61*Constants!$B$62),COMPLEX(2,0)))</f>
        <v>0.997819019627746+0.0329504705693676i</v>
      </c>
      <c r="AD526" s="18">
        <f t="shared" si="448"/>
        <v>0.99836292471306187</v>
      </c>
      <c r="AE526" s="18">
        <f t="shared" si="449"/>
        <v>3.3010496313426826E-2</v>
      </c>
      <c r="AF526" s="66" t="str">
        <f t="shared" si="450"/>
        <v>-0.0193839642774705+0.0646898424716407i</v>
      </c>
      <c r="AG526" s="64">
        <f t="shared" si="451"/>
        <v>-23.409862267122293</v>
      </c>
      <c r="AH526" s="61">
        <f t="shared" si="452"/>
        <v>106.68056270323656</v>
      </c>
      <c r="AI526" s="50" t="str">
        <f t="shared" si="432"/>
        <v>107.538871525172</v>
      </c>
      <c r="AJ526" s="50" t="str">
        <f t="shared" si="433"/>
        <v>1+5628.74846752943i</v>
      </c>
      <c r="AK526" s="50">
        <f t="shared" si="453"/>
        <v>5628.7485563591217</v>
      </c>
      <c r="AL526" s="50">
        <f t="shared" si="454"/>
        <v>1.5706186674101776</v>
      </c>
      <c r="AM526" s="50" t="str">
        <f t="shared" si="434"/>
        <v>1+6.79864520783945i</v>
      </c>
      <c r="AN526" s="50">
        <f t="shared" si="455"/>
        <v>6.8717957378023344</v>
      </c>
      <c r="AO526" s="50">
        <f t="shared" si="456"/>
        <v>1.4247553845701</v>
      </c>
      <c r="AP526" s="50" t="str">
        <f t="shared" si="435"/>
        <v>1-19.5472833566892i</v>
      </c>
      <c r="AQ526" s="50">
        <f t="shared" si="457"/>
        <v>19.572845644583687</v>
      </c>
      <c r="AR526" s="50">
        <f t="shared" si="458"/>
        <v>-1.5196828820956489</v>
      </c>
      <c r="AS526" s="59" t="str">
        <f t="shared" si="459"/>
        <v>-0.243111949497903-2.55814683564515i</v>
      </c>
      <c r="AT526" s="50">
        <f t="shared" si="460"/>
        <v>8.1975567832604277</v>
      </c>
      <c r="AU526" s="61">
        <f t="shared" si="461"/>
        <v>-95.428765835017231</v>
      </c>
      <c r="AV526" s="32" t="str">
        <f t="shared" si="436"/>
        <v>-0.0000333333333333333</v>
      </c>
      <c r="AW526" s="32" t="str">
        <f t="shared" si="437"/>
        <v>0.362594411084771i</v>
      </c>
      <c r="AX526" s="32">
        <f t="shared" si="462"/>
        <v>0.36259441108477097</v>
      </c>
      <c r="AY526" s="32">
        <f t="shared" si="463"/>
        <v>1.5707963267948966</v>
      </c>
      <c r="AZ526" s="32" t="str">
        <f t="shared" si="438"/>
        <v>1+147.933483689099i</v>
      </c>
      <c r="BA526" s="32">
        <f t="shared" si="464"/>
        <v>147.93686354790995</v>
      </c>
      <c r="BB526" s="32">
        <f t="shared" si="465"/>
        <v>1.5640366349126287</v>
      </c>
      <c r="BC526" s="32" t="str">
        <f t="shared" si="439"/>
        <v>1+7100.80721707677i</v>
      </c>
      <c r="BD526" s="32">
        <f t="shared" si="466"/>
        <v>7100.8072874912996</v>
      </c>
      <c r="BE526" s="32">
        <f t="shared" si="467"/>
        <v>1.5706554977366194</v>
      </c>
      <c r="BF526" s="59" t="str">
        <f t="shared" si="468"/>
        <v>-0.0000292058041349922+0.00441244642994736i</v>
      </c>
      <c r="BG526" s="50">
        <f t="shared" si="469"/>
        <v>-47.106220820997962</v>
      </c>
      <c r="BH526" s="61">
        <f t="shared" si="470"/>
        <v>90.379232904990715</v>
      </c>
      <c r="BI526" s="59" t="str">
        <f t="shared" si="471"/>
        <v>-0.000284874340203801-0.0000874200228431021i</v>
      </c>
      <c r="BJ526" s="64">
        <f t="shared" si="472"/>
        <v>-70.51608308812024</v>
      </c>
      <c r="BK526" s="61">
        <f t="shared" si="473"/>
        <v>-162.94020439177274</v>
      </c>
      <c r="BL526" s="59" t="str">
        <f t="shared" si="478"/>
        <v>0.0112947861522035-0.000998005718209163i</v>
      </c>
      <c r="BM526" s="64">
        <f t="shared" si="474"/>
        <v>-38.908664037737523</v>
      </c>
      <c r="BN526" s="61">
        <f t="shared" si="479"/>
        <v>-5.0495329300265279</v>
      </c>
      <c r="BO526" s="50">
        <f t="shared" si="475"/>
        <v>-70.51608308812024</v>
      </c>
      <c r="BP526" s="61">
        <f t="shared" si="476"/>
        <v>-162.94020439177274</v>
      </c>
    </row>
    <row r="527" spans="14:68" x14ac:dyDescent="0.25">
      <c r="N527" s="11">
        <v>9</v>
      </c>
      <c r="O527" s="51">
        <f t="shared" si="480"/>
        <v>1230268.770812382</v>
      </c>
      <c r="P527" s="49" t="str">
        <f t="shared" si="427"/>
        <v>37.1583961085025</v>
      </c>
      <c r="Q527" s="18" t="str">
        <f t="shared" si="428"/>
        <v>1+6058.85588929205i</v>
      </c>
      <c r="R527" s="18">
        <f t="shared" si="440"/>
        <v>6058.8559718158804</v>
      </c>
      <c r="S527" s="18">
        <f t="shared" si="441"/>
        <v>1.5706312791342174</v>
      </c>
      <c r="T527" s="18" t="str">
        <f t="shared" si="429"/>
        <v>1+6.95700599818523i</v>
      </c>
      <c r="U527" s="18">
        <f t="shared" si="442"/>
        <v>7.0285085515196792</v>
      </c>
      <c r="V527" s="18">
        <f t="shared" si="443"/>
        <v>1.428034185272145</v>
      </c>
      <c r="W527" s="32" t="str">
        <f t="shared" si="430"/>
        <v>1-60.8939327098097i</v>
      </c>
      <c r="X527" s="18">
        <f t="shared" si="444"/>
        <v>60.90214315495664</v>
      </c>
      <c r="Y527" s="18">
        <f t="shared" si="445"/>
        <v>-1.5543758054712165</v>
      </c>
      <c r="Z527" s="32" t="str">
        <f t="shared" si="431"/>
        <v>-36.8390312109052+14.6612459739533i</v>
      </c>
      <c r="AA527" s="18">
        <f t="shared" si="446"/>
        <v>39.649291974344372</v>
      </c>
      <c r="AB527" s="18">
        <f t="shared" si="447"/>
        <v>2.7628277352263404</v>
      </c>
      <c r="AC527" s="32" t="str">
        <f>IMDIV(IMSUM(COMPLEX(0,2*PI()*O527*Constants!$B$61*Constants!$B$62),COMPLEX(1,0)),IMSUM(COMPLEX(0,2*PI()*O527*Constants!$B$61*Constants!$B$62),COMPLEX(2,0)))</f>
        <v>0.997916770933515+0.0322067491358395i</v>
      </c>
      <c r="AD527" s="18">
        <f t="shared" si="448"/>
        <v>0.99843635570840095</v>
      </c>
      <c r="AE527" s="18">
        <f t="shared" si="449"/>
        <v>3.2262784599248091E-2</v>
      </c>
      <c r="AF527" s="66" t="str">
        <f t="shared" si="450"/>
        <v>-0.0185770133654601+0.0634430586035464i</v>
      </c>
      <c r="AG527" s="64">
        <f t="shared" si="451"/>
        <v>-23.595059308535731</v>
      </c>
      <c r="AH527" s="61">
        <f t="shared" si="452"/>
        <v>106.32076756284341</v>
      </c>
      <c r="AI527" s="50" t="str">
        <f t="shared" si="432"/>
        <v>107.538871525172</v>
      </c>
      <c r="AJ527" s="50" t="str">
        <f t="shared" si="433"/>
        <v>1+5759.85886213389i</v>
      </c>
      <c r="AK527" s="50">
        <f t="shared" si="453"/>
        <v>5759.8589489415726</v>
      </c>
      <c r="AL527" s="50">
        <f t="shared" si="454"/>
        <v>1.5706227114314149</v>
      </c>
      <c r="AM527" s="50" t="str">
        <f t="shared" si="434"/>
        <v>1+6.95700599818523i</v>
      </c>
      <c r="AN527" s="50">
        <f t="shared" si="455"/>
        <v>7.0285085515196792</v>
      </c>
      <c r="AO527" s="50">
        <f t="shared" si="456"/>
        <v>1.428034185272145</v>
      </c>
      <c r="AP527" s="50" t="str">
        <f t="shared" si="435"/>
        <v>1-20.0025980770263i</v>
      </c>
      <c r="AQ527" s="50">
        <f t="shared" si="457"/>
        <v>20.027579230427634</v>
      </c>
      <c r="AR527" s="50">
        <f t="shared" si="458"/>
        <v>-1.5208444092285931</v>
      </c>
      <c r="AS527" s="59" t="str">
        <f t="shared" si="459"/>
        <v>-0.243112102608954-2.6168518321021i</v>
      </c>
      <c r="AT527" s="50">
        <f t="shared" si="460"/>
        <v>8.3929052527412935</v>
      </c>
      <c r="AU527" s="61">
        <f t="shared" si="461"/>
        <v>-95.307686700782313</v>
      </c>
      <c r="AV527" s="32" t="str">
        <f t="shared" si="436"/>
        <v>-0.0000333333333333333</v>
      </c>
      <c r="AW527" s="32" t="str">
        <f t="shared" si="437"/>
        <v>0.371040319903212i</v>
      </c>
      <c r="AX527" s="32">
        <f t="shared" si="462"/>
        <v>0.37104031990321201</v>
      </c>
      <c r="AY527" s="32">
        <f t="shared" si="463"/>
        <v>1.5707963267948966</v>
      </c>
      <c r="AZ527" s="32" t="str">
        <f t="shared" si="438"/>
        <v>1+151.379297182734i</v>
      </c>
      <c r="BA527" s="32">
        <f t="shared" si="464"/>
        <v>151.38260010826377</v>
      </c>
      <c r="BB527" s="32">
        <f t="shared" si="465"/>
        <v>1.5641904997570006</v>
      </c>
      <c r="BC527" s="32" t="str">
        <f t="shared" si="439"/>
        <v>1+7266.20626477125i</v>
      </c>
      <c r="BD527" s="32">
        <f t="shared" si="466"/>
        <v>7266.2063335829489</v>
      </c>
      <c r="BE527" s="32">
        <f t="shared" si="467"/>
        <v>1.5706587033973149</v>
      </c>
      <c r="BF527" s="59" t="str">
        <f t="shared" si="468"/>
        <v>-0.0000278913837766771+0.00431201556977803i</v>
      </c>
      <c r="BG527" s="50">
        <f t="shared" si="469"/>
        <v>-47.306211893547207</v>
      </c>
      <c r="BH527" s="61">
        <f t="shared" si="470"/>
        <v>90.370600769621163</v>
      </c>
      <c r="BI527" s="59" t="str">
        <f t="shared" si="471"/>
        <v>-0.000273049317883632-0.0000818738855673162i</v>
      </c>
      <c r="BJ527" s="64">
        <f t="shared" si="472"/>
        <v>-70.901271202082924</v>
      </c>
      <c r="BK527" s="61">
        <f t="shared" si="473"/>
        <v>-163.30863166753542</v>
      </c>
      <c r="BL527" s="59" t="str">
        <f t="shared" si="478"/>
        <v>0.011290686576781-0.000975315552915423i</v>
      </c>
      <c r="BM527" s="64">
        <f t="shared" si="474"/>
        <v>-38.913306640805942</v>
      </c>
      <c r="BN527" s="61">
        <f t="shared" si="479"/>
        <v>-4.9370859311611586</v>
      </c>
      <c r="BO527" s="50">
        <f t="shared" si="475"/>
        <v>-70.901271202082924</v>
      </c>
      <c r="BP527" s="61">
        <f t="shared" si="476"/>
        <v>-163.30863166753542</v>
      </c>
    </row>
    <row r="528" spans="14:68" x14ac:dyDescent="0.25">
      <c r="N528" s="11">
        <v>10</v>
      </c>
      <c r="O528" s="51">
        <f t="shared" si="480"/>
        <v>1258925.4117941677</v>
      </c>
      <c r="P528" s="49" t="str">
        <f t="shared" si="427"/>
        <v>37.1583961085025</v>
      </c>
      <c r="Q528" s="18" t="str">
        <f t="shared" si="428"/>
        <v>1+6199.98477275153i</v>
      </c>
      <c r="R528" s="18">
        <f t="shared" si="440"/>
        <v>6199.9848533968889</v>
      </c>
      <c r="S528" s="18">
        <f t="shared" si="441"/>
        <v>1.5706350360775834</v>
      </c>
      <c r="T528" s="18" t="str">
        <f t="shared" si="429"/>
        <v>1+7.11905548519811i</v>
      </c>
      <c r="U528" s="18">
        <f t="shared" si="442"/>
        <v>7.1889464458520829</v>
      </c>
      <c r="V528" s="18">
        <f t="shared" si="443"/>
        <v>1.4312413404901205</v>
      </c>
      <c r="W528" s="32" t="str">
        <f t="shared" si="430"/>
        <v>1-62.312334614364i</v>
      </c>
      <c r="X528" s="18">
        <f t="shared" si="444"/>
        <v>62.320358191304273</v>
      </c>
      <c r="Y528" s="18">
        <f t="shared" si="445"/>
        <v>-1.5547495172611292</v>
      </c>
      <c r="Z528" s="32" t="str">
        <f t="shared" si="431"/>
        <v>-38.6223298115278+15.0027502632508i</v>
      </c>
      <c r="AA528" s="18">
        <f t="shared" si="446"/>
        <v>41.4338855953904</v>
      </c>
      <c r="AB528" s="18">
        <f t="shared" si="447"/>
        <v>2.7710847636818028</v>
      </c>
      <c r="AC528" s="32" t="str">
        <f>IMDIV(IMSUM(COMPLEX(0,2*PI()*O528*Constants!$B$61*Constants!$B$62),COMPLEX(1,0)),IMSUM(COMPLEX(0,2*PI()*O528*Constants!$B$61*Constants!$B$62),COMPLEX(2,0)))</f>
        <v>0.998010158548457+0.0314795371117366i</v>
      </c>
      <c r="AD528" s="18">
        <f t="shared" si="448"/>
        <v>0.9985065036456624</v>
      </c>
      <c r="AE528" s="18">
        <f t="shared" si="449"/>
        <v>3.1531846875528839E-2</v>
      </c>
      <c r="AF528" s="66" t="str">
        <f t="shared" si="450"/>
        <v>-0.0178010670473738+0.0622111222841467i</v>
      </c>
      <c r="AG528" s="64">
        <f t="shared" si="451"/>
        <v>-23.780864879785305</v>
      </c>
      <c r="AH528" s="61">
        <f t="shared" si="452"/>
        <v>105.96792412728827</v>
      </c>
      <c r="AI528" s="50" t="str">
        <f t="shared" si="432"/>
        <v>107.538871525172</v>
      </c>
      <c r="AJ528" s="50" t="str">
        <f t="shared" si="433"/>
        <v>1+5894.0232101478i</v>
      </c>
      <c r="AK528" s="50">
        <f t="shared" si="453"/>
        <v>5894.0232949794972</v>
      </c>
      <c r="AL528" s="50">
        <f t="shared" si="454"/>
        <v>1.5706266633994959</v>
      </c>
      <c r="AM528" s="50" t="str">
        <f t="shared" si="434"/>
        <v>1+7.11905548519811i</v>
      </c>
      <c r="AN528" s="50">
        <f t="shared" si="455"/>
        <v>7.1889464458520829</v>
      </c>
      <c r="AO528" s="50">
        <f t="shared" si="456"/>
        <v>1.4312413404901205</v>
      </c>
      <c r="AP528" s="50" t="str">
        <f t="shared" si="435"/>
        <v>1-20.4685184396294i</v>
      </c>
      <c r="AQ528" s="50">
        <f t="shared" si="457"/>
        <v>20.492931637846468</v>
      </c>
      <c r="AR528" s="50">
        <f t="shared" si="458"/>
        <v>-1.5219796271399513</v>
      </c>
      <c r="AS528" s="59" t="str">
        <f t="shared" si="459"/>
        <v>-0.243112248828871-2.67694431803616i</v>
      </c>
      <c r="AT528" s="50">
        <f t="shared" si="460"/>
        <v>8.5884593298141976</v>
      </c>
      <c r="AU528" s="61">
        <f t="shared" si="461"/>
        <v>-95.189199868789231</v>
      </c>
      <c r="AV528" s="32" t="str">
        <f t="shared" si="436"/>
        <v>-0.0000333333333333333</v>
      </c>
      <c r="AW528" s="32" t="str">
        <f t="shared" si="437"/>
        <v>0.379682959210566i</v>
      </c>
      <c r="AX528" s="32">
        <f t="shared" si="462"/>
        <v>0.379682959210566</v>
      </c>
      <c r="AY528" s="32">
        <f t="shared" si="463"/>
        <v>1.5707963267948966</v>
      </c>
      <c r="AZ528" s="32" t="str">
        <f t="shared" si="438"/>
        <v>1+154.905373983477i</v>
      </c>
      <c r="BA528" s="32">
        <f t="shared" si="464"/>
        <v>154.90860172682753</v>
      </c>
      <c r="BB528" s="32">
        <f t="shared" si="465"/>
        <v>1.5643408625121551</v>
      </c>
      <c r="BC528" s="32" t="str">
        <f t="shared" si="439"/>
        <v>1+7435.45795120693i</v>
      </c>
      <c r="BD528" s="32">
        <f t="shared" si="466"/>
        <v>7435.4580184522838</v>
      </c>
      <c r="BE528" s="32">
        <f t="shared" si="467"/>
        <v>1.5706618360882671</v>
      </c>
      <c r="BF528" s="59" t="str">
        <f t="shared" si="468"/>
        <v>-0.0000266361170328136+0.00421387021557026i</v>
      </c>
      <c r="BG528" s="50">
        <f t="shared" si="469"/>
        <v>-47.506203367880872</v>
      </c>
      <c r="BH528" s="61">
        <f t="shared" si="470"/>
        <v>90.36216510832493</v>
      </c>
      <c r="BI528" s="59" t="str">
        <f t="shared" si="471"/>
        <v>-0.000261675443965182-0.0000766684489702009i</v>
      </c>
      <c r="BJ528" s="64">
        <f t="shared" si="472"/>
        <v>-71.287068247666184</v>
      </c>
      <c r="BK528" s="61">
        <f t="shared" si="473"/>
        <v>-163.66991076438677</v>
      </c>
      <c r="BL528" s="59" t="str">
        <f t="shared" si="478"/>
        <v>0.0112867714968245-0.000953140062234749i</v>
      </c>
      <c r="BM528" s="64">
        <f t="shared" si="474"/>
        <v>-38.917744038066701</v>
      </c>
      <c r="BN528" s="61">
        <f t="shared" si="479"/>
        <v>-4.8270347604643158</v>
      </c>
      <c r="BO528" s="50">
        <f t="shared" si="475"/>
        <v>-71.287068247666184</v>
      </c>
      <c r="BP528" s="61">
        <f t="shared" si="476"/>
        <v>-163.66991076438677</v>
      </c>
    </row>
    <row r="529" spans="14:68" x14ac:dyDescent="0.25">
      <c r="N529" s="11">
        <v>11</v>
      </c>
      <c r="O529" s="51">
        <f t="shared" si="480"/>
        <v>1288249.5516931366</v>
      </c>
      <c r="P529" s="49" t="str">
        <f t="shared" si="427"/>
        <v>37.1583961085025</v>
      </c>
      <c r="Q529" s="18" t="str">
        <f t="shared" si="428"/>
        <v>1+6344.40097020403i</v>
      </c>
      <c r="R529" s="18">
        <f t="shared" si="440"/>
        <v>6344.401049013677</v>
      </c>
      <c r="S529" s="18">
        <f t="shared" si="441"/>
        <v>1.5706387075024819</v>
      </c>
      <c r="T529" s="18" t="str">
        <f t="shared" si="429"/>
        <v>1+7.28487958966111i</v>
      </c>
      <c r="U529" s="18">
        <f t="shared" si="442"/>
        <v>7.3531945871070903</v>
      </c>
      <c r="V529" s="18">
        <f t="shared" si="443"/>
        <v>1.434378286655744</v>
      </c>
      <c r="W529" s="32" t="str">
        <f t="shared" si="430"/>
        <v>1-63.7637753435323i</v>
      </c>
      <c r="X529" s="18">
        <f t="shared" si="444"/>
        <v>63.771616304281153</v>
      </c>
      <c r="Y529" s="18">
        <f t="shared" si="445"/>
        <v>-1.5551147266636607</v>
      </c>
      <c r="Z529" s="32" t="str">
        <f t="shared" si="431"/>
        <v>-40.4896726859391+15.3522092093228i</v>
      </c>
      <c r="AA529" s="18">
        <f t="shared" si="446"/>
        <v>43.302470158425123</v>
      </c>
      <c r="AB529" s="18">
        <f t="shared" si="447"/>
        <v>2.7791767282203814</v>
      </c>
      <c r="AC529" s="32" t="str">
        <f>IMDIV(IMSUM(COMPLEX(0,2*PI()*O529*Constants!$B$61*Constants!$B$62),COMPLEX(1,0)),IMSUM(COMPLEX(0,2*PI()*O529*Constants!$B$61*Constants!$B$62),COMPLEX(2,0)))</f>
        <v>0.998099375735655+0.0307684864687615i</v>
      </c>
      <c r="AD529" s="18">
        <f t="shared" si="448"/>
        <v>0.99857351437111663</v>
      </c>
      <c r="AE529" s="18">
        <f t="shared" si="449"/>
        <v>3.0817317644005596E-2</v>
      </c>
      <c r="AF529" s="66" t="str">
        <f t="shared" si="450"/>
        <v>-0.0170551441917609+0.060994447144159i</v>
      </c>
      <c r="AG529" s="64">
        <f t="shared" si="451"/>
        <v>-23.967256264547238</v>
      </c>
      <c r="AH529" s="61">
        <f t="shared" si="452"/>
        <v>105.62194766324824</v>
      </c>
      <c r="AI529" s="50" t="str">
        <f t="shared" si="432"/>
        <v>107.538871525172</v>
      </c>
      <c r="AJ529" s="50" t="str">
        <f t="shared" si="433"/>
        <v>1+6031.31264728437i</v>
      </c>
      <c r="AK529" s="50">
        <f t="shared" si="453"/>
        <v>6031.3127301850618</v>
      </c>
      <c r="AL529" s="50">
        <f t="shared" si="454"/>
        <v>1.5706305254098056</v>
      </c>
      <c r="AM529" s="50" t="str">
        <f t="shared" si="434"/>
        <v>1+7.28487958966111i</v>
      </c>
      <c r="AN529" s="50">
        <f t="shared" si="455"/>
        <v>7.3531945871070903</v>
      </c>
      <c r="AO529" s="50">
        <f t="shared" si="456"/>
        <v>1.434378286655744</v>
      </c>
      <c r="AP529" s="50" t="str">
        <f t="shared" si="435"/>
        <v>1-20.9452914816422i</v>
      </c>
      <c r="AQ529" s="50">
        <f t="shared" si="457"/>
        <v>20.969149607243338</v>
      </c>
      <c r="AR529" s="50">
        <f t="shared" si="458"/>
        <v>-1.5230891260268178</v>
      </c>
      <c r="AS529" s="59" t="str">
        <f t="shared" si="459"/>
        <v>-0.24311238846781-2.73845615527897i</v>
      </c>
      <c r="AT529" s="50">
        <f t="shared" si="460"/>
        <v>8.7842100840443234</v>
      </c>
      <c r="AU529" s="61">
        <f t="shared" si="461"/>
        <v>-95.073256973422374</v>
      </c>
      <c r="AV529" s="32" t="str">
        <f t="shared" si="436"/>
        <v>-0.0000333333333333333</v>
      </c>
      <c r="AW529" s="32" t="str">
        <f t="shared" si="437"/>
        <v>0.388526911448592i</v>
      </c>
      <c r="AX529" s="32">
        <f t="shared" si="462"/>
        <v>0.38852691144859203</v>
      </c>
      <c r="AY529" s="32">
        <f t="shared" si="463"/>
        <v>1.5707963267948966</v>
      </c>
      <c r="AZ529" s="32" t="str">
        <f t="shared" si="438"/>
        <v>1+158.513583663922i</v>
      </c>
      <c r="BA529" s="32">
        <f t="shared" si="464"/>
        <v>158.51673793634285</v>
      </c>
      <c r="BB529" s="32">
        <f t="shared" si="465"/>
        <v>1.5644878028752036</v>
      </c>
      <c r="BC529" s="32" t="str">
        <f t="shared" si="439"/>
        <v>1+7608.65201586828i</v>
      </c>
      <c r="BD529" s="32">
        <f t="shared" si="466"/>
        <v>7608.6520815829417</v>
      </c>
      <c r="BE529" s="32">
        <f t="shared" si="467"/>
        <v>1.57066489747047</v>
      </c>
      <c r="BF529" s="59" t="str">
        <f t="shared" si="468"/>
        <v>-0.0000254373419962203+0.00411795838153366i</v>
      </c>
      <c r="BG529" s="50">
        <f t="shared" si="469"/>
        <v>-47.706195225917085</v>
      </c>
      <c r="BH529" s="61">
        <f t="shared" si="470"/>
        <v>90.353921449961831</v>
      </c>
      <c r="BI529" s="59" t="str">
        <f t="shared" si="471"/>
        <v>-0.000250738757308701-0.0000717839105846033i</v>
      </c>
      <c r="BJ529" s="64">
        <f t="shared" si="472"/>
        <v>-71.673451490464302</v>
      </c>
      <c r="BK529" s="61">
        <f t="shared" si="473"/>
        <v>-164.02413088678995</v>
      </c>
      <c r="BL529" s="59" t="str">
        <f t="shared" si="478"/>
        <v>0.0112830326100625-0.0009314676519822i</v>
      </c>
      <c r="BM529" s="64">
        <f t="shared" si="474"/>
        <v>-38.921985141872717</v>
      </c>
      <c r="BN529" s="61">
        <f t="shared" si="479"/>
        <v>-4.7193355234605194</v>
      </c>
      <c r="BO529" s="50">
        <f t="shared" si="475"/>
        <v>-71.673451490464302</v>
      </c>
      <c r="BP529" s="61">
        <f t="shared" si="476"/>
        <v>-164.02413088678995</v>
      </c>
    </row>
    <row r="530" spans="14:68" x14ac:dyDescent="0.25">
      <c r="N530" s="11">
        <v>12</v>
      </c>
      <c r="O530" s="51">
        <f t="shared" si="480"/>
        <v>1318256.7385564097</v>
      </c>
      <c r="P530" s="49" t="str">
        <f t="shared" si="427"/>
        <v>37.1583961085025</v>
      </c>
      <c r="Q530" s="18" t="str">
        <f t="shared" si="428"/>
        <v>1+6492.18105302901i</v>
      </c>
      <c r="R530" s="18">
        <f t="shared" si="440"/>
        <v>6492.1811300447298</v>
      </c>
      <c r="S530" s="18">
        <f t="shared" si="441"/>
        <v>1.5706422953555508</v>
      </c>
      <c r="T530" s="18" t="str">
        <f t="shared" si="429"/>
        <v>1+7.45456623370931i</v>
      </c>
      <c r="U530" s="18">
        <f t="shared" si="442"/>
        <v>7.5213401553685246</v>
      </c>
      <c r="V530" s="18">
        <f t="shared" si="443"/>
        <v>1.4374464399384563</v>
      </c>
      <c r="W530" s="32" t="str">
        <f t="shared" si="430"/>
        <v>1-65.249024470401i</v>
      </c>
      <c r="X530" s="18">
        <f t="shared" si="444"/>
        <v>65.256686970294368</v>
      </c>
      <c r="Y530" s="18">
        <f t="shared" si="445"/>
        <v>-1.55547162692776</v>
      </c>
      <c r="Z530" s="32" t="str">
        <f t="shared" si="431"/>
        <v>-42.4450207187345+15.7098080999281i</v>
      </c>
      <c r="AA530" s="18">
        <f t="shared" si="446"/>
        <v>45.259008543607834</v>
      </c>
      <c r="AB530" s="18">
        <f t="shared" si="447"/>
        <v>2.7871060066417073</v>
      </c>
      <c r="AC530" s="32" t="str">
        <f>IMDIV(IMSUM(COMPLEX(0,2*PI()*O530*Constants!$B$61*Constants!$B$62),COMPLEX(1,0)),IMSUM(COMPLEX(0,2*PI()*O530*Constants!$B$61*Constants!$B$62),COMPLEX(2,0)))</f>
        <v>0.998184607333434+0.030073255273566i</v>
      </c>
      <c r="AD530" s="18">
        <f t="shared" si="448"/>
        <v>0.99863752733419275</v>
      </c>
      <c r="AE530" s="18">
        <f t="shared" si="449"/>
        <v>3.0118838646924155E-2</v>
      </c>
      <c r="AF530" s="66" t="str">
        <f t="shared" si="450"/>
        <v>-0.0163382775694305+0.059793401650881i</v>
      </c>
      <c r="AG530" s="64">
        <f t="shared" si="451"/>
        <v>-24.154211406301073</v>
      </c>
      <c r="AH530" s="61">
        <f t="shared" si="452"/>
        <v>105.28275136283105</v>
      </c>
      <c r="AI530" s="50" t="str">
        <f t="shared" si="432"/>
        <v>107.538871525172</v>
      </c>
      <c r="AJ530" s="50" t="str">
        <f t="shared" si="433"/>
        <v>1+6171.79996622039i</v>
      </c>
      <c r="AK530" s="50">
        <f t="shared" si="453"/>
        <v>6171.8000472340327</v>
      </c>
      <c r="AL530" s="50">
        <f t="shared" si="454"/>
        <v>1.5706342995100329</v>
      </c>
      <c r="AM530" s="50" t="str">
        <f t="shared" si="434"/>
        <v>1+7.45456623370931i</v>
      </c>
      <c r="AN530" s="50">
        <f t="shared" si="455"/>
        <v>7.5213401553685246</v>
      </c>
      <c r="AO530" s="50">
        <f t="shared" si="456"/>
        <v>1.4374464399384563</v>
      </c>
      <c r="AP530" s="50" t="str">
        <f t="shared" si="435"/>
        <v>1-21.4331699944423i</v>
      </c>
      <c r="AQ530" s="50">
        <f t="shared" si="457"/>
        <v>21.456485639793428</v>
      </c>
      <c r="AR530" s="50">
        <f t="shared" si="458"/>
        <v>-1.5241734832277412</v>
      </c>
      <c r="AS530" s="59" t="str">
        <f t="shared" si="459"/>
        <v>-0.24311252182196-2.80141995822097i</v>
      </c>
      <c r="AT530" s="50">
        <f t="shared" si="460"/>
        <v>8.9801489592540413</v>
      </c>
      <c r="AU530" s="61">
        <f t="shared" si="461"/>
        <v>-94.959810070535738</v>
      </c>
      <c r="AV530" s="32" t="str">
        <f t="shared" si="436"/>
        <v>-0.0000333333333333333</v>
      </c>
      <c r="AW530" s="32" t="str">
        <f t="shared" si="437"/>
        <v>0.39757686579783i</v>
      </c>
      <c r="AX530" s="32">
        <f t="shared" si="462"/>
        <v>0.39757686579783003</v>
      </c>
      <c r="AY530" s="32">
        <f t="shared" si="463"/>
        <v>1.5707963267948966</v>
      </c>
      <c r="AZ530" s="32" t="str">
        <f t="shared" si="438"/>
        <v>1+162.205839344601i</v>
      </c>
      <c r="BA530" s="32">
        <f t="shared" si="464"/>
        <v>162.20892181839602</v>
      </c>
      <c r="BB530" s="32">
        <f t="shared" si="465"/>
        <v>1.5646313987304752</v>
      </c>
      <c r="BC530" s="32" t="str">
        <f t="shared" si="439"/>
        <v>1+7785.88028854085i</v>
      </c>
      <c r="BD530" s="32">
        <f t="shared" si="466"/>
        <v>7785.8803527596647</v>
      </c>
      <c r="BE530" s="32">
        <f t="shared" si="467"/>
        <v>1.5706678891671086</v>
      </c>
      <c r="BF530" s="59" t="str">
        <f t="shared" si="468"/>
        <v>-0.0000242925165262082+0.0040242292626377i</v>
      </c>
      <c r="BG530" s="50">
        <f t="shared" si="469"/>
        <v>-47.906187450387819</v>
      </c>
      <c r="BH530" s="61">
        <f t="shared" si="470"/>
        <v>90.345865425090167</v>
      </c>
      <c r="BI530" s="59" t="str">
        <f t="shared" si="471"/>
        <v>-0.000240225458758259-0.0000672015068937616i</v>
      </c>
      <c r="BJ530" s="64">
        <f t="shared" si="472"/>
        <v>-72.060398856688906</v>
      </c>
      <c r="BK530" s="61">
        <f t="shared" si="473"/>
        <v>-164.37138321207874</v>
      </c>
      <c r="BL530" s="59" t="str">
        <f t="shared" si="478"/>
        <v>0.0112794619877642-0.000910286983797645i</v>
      </c>
      <c r="BM530" s="64">
        <f t="shared" si="474"/>
        <v>-38.926038491133774</v>
      </c>
      <c r="BN530" s="61">
        <f t="shared" si="479"/>
        <v>-4.613944645445561</v>
      </c>
      <c r="BO530" s="50">
        <f t="shared" si="475"/>
        <v>-72.060398856688906</v>
      </c>
      <c r="BP530" s="61">
        <f t="shared" si="476"/>
        <v>-164.37138321207874</v>
      </c>
    </row>
    <row r="531" spans="14:68" x14ac:dyDescent="0.25">
      <c r="N531" s="11">
        <v>13</v>
      </c>
      <c r="O531" s="51">
        <f t="shared" si="480"/>
        <v>1348962.8825916562</v>
      </c>
      <c r="P531" s="49" t="str">
        <f t="shared" ref="P531:P560" si="481">COMPLEX(Adc,0)</f>
        <v>37.1583961085025</v>
      </c>
      <c r="Q531" s="18" t="str">
        <f t="shared" ref="Q531:Q560" si="482">IMSUM(COMPLEX(1,0),IMDIV(COMPLEX(0,2*PI()*O531),COMPLEX(wp_lf,0)))</f>
        <v>1+6643.40337618247i</v>
      </c>
      <c r="R531" s="18">
        <f t="shared" si="440"/>
        <v>6643.4034514450987</v>
      </c>
      <c r="S531" s="18">
        <f t="shared" si="441"/>
        <v>1.5706458015391169</v>
      </c>
      <c r="T531" s="18" t="str">
        <f t="shared" ref="T531:T560" si="483">IMSUM(COMPLEX(1,0),IMDIV(COMPLEX(0,2*PI()*O531),COMPLEX(wz_esr,0)))</f>
        <v>1+7.62820538744747i</v>
      </c>
      <c r="U531" s="18">
        <f t="shared" si="442"/>
        <v>7.6934723911301974</v>
      </c>
      <c r="V531" s="18">
        <f t="shared" si="443"/>
        <v>1.4404471959338094</v>
      </c>
      <c r="W531" s="32" t="str">
        <f t="shared" ref="W531:W560" si="484">IMSUB(COMPLEX(1,0),IMDIV(COMPLEX(0,2*PI()*O531),COMPLEX(wz_rhp,0)))</f>
        <v>1-66.7688694937167i</v>
      </c>
      <c r="X531" s="18">
        <f t="shared" si="444"/>
        <v>66.776357593604743</v>
      </c>
      <c r="Y531" s="18">
        <f t="shared" si="445"/>
        <v>-1.555820406922773</v>
      </c>
      <c r="Z531" s="32" t="str">
        <f t="shared" ref="Z531:Z560" si="485">IMSUM(COMPLEX(1,0),IMDIV(COMPLEX(0,2*PI()*O531),COMPLEX(Q*(wsl/2),0)),IMDIV(IMPOWER(COMPLEX(0,2*PI()*O531),2),IMPOWER(COMPLEX(wsl/2,0),2)))</f>
        <v>-44.4925214652496+16.0757365387319i</v>
      </c>
      <c r="AA531" s="18">
        <f t="shared" si="446"/>
        <v>47.30765024389202</v>
      </c>
      <c r="AB531" s="18">
        <f t="shared" si="447"/>
        <v>2.7948749999590534</v>
      </c>
      <c r="AC531" s="32" t="str">
        <f>IMDIV(IMSUM(COMPLEX(0,2*PI()*O531*Constants!$B$61*Constants!$B$62),COMPLEX(1,0)),IMSUM(COMPLEX(0,2*PI()*O531*Constants!$B$61*Constants!$B$62),COMPLEX(2,0)))</f>
        <v>0.998266030110776+0.0293935076681092i</v>
      </c>
      <c r="AD531" s="18">
        <f t="shared" si="448"/>
        <v>0.99869867586082428</v>
      </c>
      <c r="AE531" s="18">
        <f t="shared" si="449"/>
        <v>2.9436058773142992E-2</v>
      </c>
      <c r="AF531" s="66" t="str">
        <f t="shared" si="450"/>
        <v>-0.0156495151939617+0.0586083112303349i</v>
      </c>
      <c r="AG531" s="64">
        <f t="shared" si="451"/>
        <v>-24.341708904892808</v>
      </c>
      <c r="AH531" s="61">
        <f t="shared" si="452"/>
        <v>104.95024657224653</v>
      </c>
      <c r="AI531" s="50" t="str">
        <f t="shared" ref="AI531:AI560" si="486">COMPLEX($B$72,0)</f>
        <v>107.538871525172</v>
      </c>
      <c r="AJ531" s="50" t="str">
        <f t="shared" ref="AJ531:AJ560" si="487">IMSUM(COMPLEX(1,0),IMDIV(COMPLEX(0,2*PI()*O531),COMPLEX(wp_lf_DCM,0)))</f>
        <v>1+6315.55965519191i</v>
      </c>
      <c r="AK531" s="50">
        <f t="shared" si="453"/>
        <v>6315.5597343614572</v>
      </c>
      <c r="AL531" s="50">
        <f t="shared" si="454"/>
        <v>1.5706379877012551</v>
      </c>
      <c r="AM531" s="50" t="str">
        <f t="shared" ref="AM531:AM560" si="488">IMSUM(COMPLEX(1,0),IMDIV(COMPLEX(0,2*PI()*O531),COMPLEX(wz1_dcm,0)))</f>
        <v>1+7.62820538744747i</v>
      </c>
      <c r="AN531" s="50">
        <f t="shared" si="455"/>
        <v>7.6934723911301974</v>
      </c>
      <c r="AO531" s="50">
        <f t="shared" si="456"/>
        <v>1.4404471959338094</v>
      </c>
      <c r="AP531" s="50" t="str">
        <f t="shared" ref="AP531:AP560" si="489">IMSUB(COMPLEX(1,0),IMDIV(COMPLEX(0,2*PI()*O531),COMPLEX(wz2_dcm,0)))</f>
        <v>1-21.9324126576749i</v>
      </c>
      <c r="AQ531" s="50">
        <f t="shared" si="457"/>
        <v>21.955198131343248</v>
      </c>
      <c r="AR531" s="50">
        <f t="shared" si="458"/>
        <v>-1.5252332634772998</v>
      </c>
      <c r="AS531" s="59" t="str">
        <f t="shared" si="459"/>
        <v>-0.243112649174186-2.86586911110406i</v>
      </c>
      <c r="AT531" s="50">
        <f t="shared" si="460"/>
        <v>9.1762677590159498</v>
      </c>
      <c r="AU531" s="61">
        <f t="shared" si="461"/>
        <v>-94.848811669955509</v>
      </c>
      <c r="AV531" s="32" t="str">
        <f t="shared" ref="AV531:AV560" si="490">COMPLEX(Adc_ea,0)</f>
        <v>-0.0000333333333333333</v>
      </c>
      <c r="AW531" s="32" t="str">
        <f t="shared" ref="AW531:AW560" si="491">COMPLEX(0,2*PI()*O531*wp0_ea)</f>
        <v>0.406837620663865i</v>
      </c>
      <c r="AX531" s="32">
        <f t="shared" si="462"/>
        <v>0.40683762066386497</v>
      </c>
      <c r="AY531" s="32">
        <f t="shared" si="463"/>
        <v>1.5707963267948966</v>
      </c>
      <c r="AZ531" s="32" t="str">
        <f t="shared" ref="AZ531:AZ560" si="492">IMSUM(COMPLEX(1,0),IMDIV(COMPLEX(0,2*PI()*O531),COMPLEX(wp1_ea,0)))</f>
        <v>1+165.984098708348i</v>
      </c>
      <c r="BA531" s="32">
        <f t="shared" si="464"/>
        <v>165.98711101776129</v>
      </c>
      <c r="BB531" s="32">
        <f t="shared" si="465"/>
        <v>1.5647717261906926</v>
      </c>
      <c r="BC531" s="32" t="str">
        <f t="shared" ref="BC531:BC560" si="493">IMSUM(COMPLEX(1,0),IMDIV(COMPLEX(0,2*PI()*O531),COMPLEX(wz_ea,0)))</f>
        <v>1+7967.2367380007i</v>
      </c>
      <c r="BD531" s="32">
        <f t="shared" si="466"/>
        <v>7967.2368007577161</v>
      </c>
      <c r="BE531" s="32">
        <f t="shared" si="467"/>
        <v>1.57067081276442</v>
      </c>
      <c r="BF531" s="59" t="str">
        <f t="shared" si="468"/>
        <v>-0.000023199212861637+0.00393263320790673i</v>
      </c>
      <c r="BG531" s="50">
        <f t="shared" si="469"/>
        <v>-48.106180024801958</v>
      </c>
      <c r="BH531" s="61">
        <f t="shared" si="470"/>
        <v>90.337992763656857</v>
      </c>
      <c r="BI531" s="59" t="str">
        <f t="shared" si="471"/>
        <v>-0.000230121934569582-0.0000629034698271083i</v>
      </c>
      <c r="BJ531" s="64">
        <f t="shared" si="472"/>
        <v>-72.447888929694756</v>
      </c>
      <c r="BK531" s="61">
        <f t="shared" si="473"/>
        <v>-164.71176066409663</v>
      </c>
      <c r="BL531" s="59" t="str">
        <f t="shared" si="478"/>
        <v>0.0112760520579395-0.000889586969862489i</v>
      </c>
      <c r="BM531" s="64">
        <f t="shared" si="474"/>
        <v>-38.929912265786022</v>
      </c>
      <c r="BN531" s="61">
        <f t="shared" si="479"/>
        <v>-4.5108189062986588</v>
      </c>
      <c r="BO531" s="50">
        <f t="shared" si="475"/>
        <v>-72.447888929694756</v>
      </c>
      <c r="BP531" s="61">
        <f t="shared" si="476"/>
        <v>-164.71176066409663</v>
      </c>
    </row>
    <row r="532" spans="14:68" x14ac:dyDescent="0.25">
      <c r="N532" s="11">
        <v>14</v>
      </c>
      <c r="O532" s="51">
        <f t="shared" si="480"/>
        <v>1380384.2646028849</v>
      </c>
      <c r="P532" s="49" t="str">
        <f t="shared" si="481"/>
        <v>37.1583961085025</v>
      </c>
      <c r="Q532" s="18" t="str">
        <f t="shared" si="482"/>
        <v>1+6798.14811974181i</v>
      </c>
      <c r="R532" s="18">
        <f t="shared" ref="R532:R560" si="494">IMABS(Q532)</f>
        <v>6798.1481932912511</v>
      </c>
      <c r="S532" s="18">
        <f t="shared" ref="S532:S560" si="495">IMARGUMENT(Q532)</f>
        <v>1.5706492279122048</v>
      </c>
      <c r="T532" s="18" t="str">
        <f t="shared" si="483"/>
        <v>1+7.80588911665327i</v>
      </c>
      <c r="U532" s="18">
        <f t="shared" ref="U532:U560" si="496">IMABS(T532)</f>
        <v>7.8696826429968558</v>
      </c>
      <c r="V532" s="18">
        <f t="shared" ref="V532:V560" si="497">IMARGUMENT(T532)</f>
        <v>1.4433819294045702</v>
      </c>
      <c r="W532" s="32" t="str">
        <f t="shared" si="484"/>
        <v>1-68.3241162554284i</v>
      </c>
      <c r="X532" s="18">
        <f t="shared" ref="X532:X560" si="498">IMABS(W532)</f>
        <v>68.33143392381939</v>
      </c>
      <c r="Y532" s="18">
        <f t="shared" ref="Y532:Y560" si="499">IMARGUMENT(W532)</f>
        <v>-1.5561612512368495</v>
      </c>
      <c r="Z532" s="32" t="str">
        <f t="shared" si="485"/>
        <v>-46.6365179490811+16.4501885458359i</v>
      </c>
      <c r="AA532" s="18">
        <f t="shared" ref="AA532:AA560" si="500">IMABS(Z532)</f>
        <v>49.452740162790924</v>
      </c>
      <c r="AB532" s="18">
        <f t="shared" ref="AB532:AB560" si="501">IMARGUMENT(Z532)</f>
        <v>2.802486128121993</v>
      </c>
      <c r="AC532" s="32" t="str">
        <f>IMDIV(IMSUM(COMPLEX(0,2*PI()*O532*Constants!$B$61*Constants!$B$62),COMPLEX(1,0)),IMSUM(COMPLEX(0,2*PI()*O532*Constants!$B$61*Constants!$B$62),COMPLEX(2,0)))</f>
        <v>0.998343813108786+0.028728913842822i</v>
      </c>
      <c r="AD532" s="18">
        <f t="shared" ref="AD532:AD560" si="502">IMABS(AC532)</f>
        <v>0.99875708741574332</v>
      </c>
      <c r="AE532" s="18">
        <f t="shared" ref="AE532:AE560" si="503">IMARGUMENT(AC532)</f>
        <v>2.8768633961762657E-2</v>
      </c>
      <c r="AF532" s="66" t="str">
        <f t="shared" ref="AF532:AF560" si="504">(IMDIV(IMPRODUCT(P532,T532,W532,AC532),IMPRODUCT(Q532,Z532)))</f>
        <v>-0.014987921503117+0.0574394603730151i</v>
      </c>
      <c r="AG532" s="64">
        <f t="shared" ref="AG532:AG560" si="505">20*LOG(IMABS(AF532))</f>
        <v>-24.529728011577387</v>
      </c>
      <c r="AH532" s="61">
        <f t="shared" ref="AH532:AH560" si="506">(180/PI())*IMARGUMENT(AF532)</f>
        <v>104.62434301082835</v>
      </c>
      <c r="AI532" s="50" t="str">
        <f t="shared" si="486"/>
        <v>107.538871525172</v>
      </c>
      <c r="AJ532" s="50" t="str">
        <f t="shared" si="487"/>
        <v>1+6462.66793748893i</v>
      </c>
      <c r="AK532" s="50">
        <f t="shared" ref="AK532:AK560" si="507">IMABS(AJ532)</f>
        <v>6462.6680148563573</v>
      </c>
      <c r="AL532" s="50">
        <f t="shared" ref="AL532:AL560" si="508">IMARGUMENT(AJ532)</f>
        <v>1.5706415919389993</v>
      </c>
      <c r="AM532" s="50" t="str">
        <f t="shared" si="488"/>
        <v>1+7.80588911665327i</v>
      </c>
      <c r="AN532" s="50">
        <f t="shared" ref="AN532:AN560" si="509">IMABS(AM532)</f>
        <v>7.8696826429968558</v>
      </c>
      <c r="AO532" s="50">
        <f t="shared" ref="AO532:AO560" si="510">IMARGUMENT(AM532)</f>
        <v>1.4433819294045702</v>
      </c>
      <c r="AP532" s="50" t="str">
        <f t="shared" si="489"/>
        <v>1-22.4432841764084i</v>
      </c>
      <c r="AQ532" s="50">
        <f t="shared" ref="AQ532:AQ560" si="511">IMABS(AP532)</f>
        <v>22.465551509433809</v>
      </c>
      <c r="AR532" s="50">
        <f t="shared" ref="AR532:AR560" si="512">IMARGUMENT(AP532)</f>
        <v>-1.52626901915739</v>
      </c>
      <c r="AS532" s="59" t="str">
        <f t="shared" ref="AS532:AS560" si="513">(IMDIV(IMPRODUCT(AI532,AM532,AP532),IMPRODUCT(AJ532)))</f>
        <v>-0.243112770794617-2.93183778572228i</v>
      </c>
      <c r="AT532" s="50">
        <f t="shared" ref="AT532:AT560" si="514">20*LOG(IMABS(AS532))</f>
        <v>9.372558632604937</v>
      </c>
      <c r="AU532" s="61">
        <f t="shared" ref="AU532:AU560" si="515">(180/PI())*IMARGUMENT(AS532)</f>
        <v>-94.740214764772119</v>
      </c>
      <c r="AV532" s="32" t="str">
        <f t="shared" si="490"/>
        <v>-0.0000333333333333333</v>
      </c>
      <c r="AW532" s="32" t="str">
        <f t="shared" si="491"/>
        <v>0.416314086221508i</v>
      </c>
      <c r="AX532" s="32">
        <f t="shared" ref="AX532:AX560" si="516">IMABS(AW532)</f>
        <v>0.41631408622150801</v>
      </c>
      <c r="AY532" s="32">
        <f t="shared" ref="AY532:AY560" si="517">IMARGUMENT(AW532)</f>
        <v>1.5707963267948966</v>
      </c>
      <c r="AZ532" s="32" t="str">
        <f t="shared" si="492"/>
        <v>1+169.850365038289i</v>
      </c>
      <c r="BA532" s="32">
        <f t="shared" ref="BA532:BA560" si="518">IMABS(AZ532)</f>
        <v>169.85330878037092</v>
      </c>
      <c r="BB532" s="32">
        <f t="shared" ref="BB532:BB560" si="519">IMARGUMENT(AZ532)</f>
        <v>1.5649088596372132</v>
      </c>
      <c r="BC532" s="32" t="str">
        <f t="shared" si="493"/>
        <v>1+8152.81752183788i</v>
      </c>
      <c r="BD532" s="32">
        <f t="shared" ref="BD532:BD560" si="520">IMABS(BC532)</f>
        <v>8152.8175831663702</v>
      </c>
      <c r="BE532" s="32">
        <f t="shared" ref="BE532:BE560" si="521">IMARGUMENT(BC532)</f>
        <v>1.5706736698125336</v>
      </c>
      <c r="BF532" s="59" t="str">
        <f t="shared" ref="BF532:BF560" si="522">IMPRODUCT(AV532,IMDIV(BC532,IMPRODUCT(AW532,AZ532)))</f>
        <v>-0.0000221551124761219+0.00384312169431106i</v>
      </c>
      <c r="BG532" s="50">
        <f t="shared" ref="BG532:BG560" si="523">20*LOG(IMABS(BF532))</f>
        <v>-48.30617293341065</v>
      </c>
      <c r="BH532" s="61">
        <f t="shared" ref="BH532:BH560" si="524">(180/PI())*IMARGUMENT(BF532)</f>
        <v>90.330299292739923</v>
      </c>
      <c r="BI532" s="59" t="str">
        <f t="shared" ref="BI532:BI560" si="525">IMPRODUCT(AF532,BF532)</f>
        <v>-0.00022041477718237-0.0000588729839863921i</v>
      </c>
      <c r="BJ532" s="64">
        <f t="shared" ref="BJ532:BJ560" si="526">20*LOG(IMABS(BI532))</f>
        <v>-72.83590094498804</v>
      </c>
      <c r="BK532" s="61">
        <f t="shared" ref="BK532:BK560" si="527">(180/PI())*IMARGUMENT(BI532)</f>
        <v>-165.04535769643172</v>
      </c>
      <c r="BL532" s="59" t="str">
        <f t="shared" si="478"/>
        <v>0.0112727955892915-0.000869356767700444i</v>
      </c>
      <c r="BM532" s="64">
        <f t="shared" ref="BM532:BM560" si="528">20*LOG(IMABS(BL532))</f>
        <v>-38.93361430080575</v>
      </c>
      <c r="BN532" s="61">
        <f t="shared" si="479"/>
        <v>-4.4099154720322158</v>
      </c>
      <c r="BO532" s="50">
        <f t="shared" ref="BO532:BO560" si="529">IF($B$31=0,BM532,BJ532)</f>
        <v>-72.83590094498804</v>
      </c>
      <c r="BP532" s="61">
        <f t="shared" ref="BP532:BP560" si="530">IF($B$31=0,BN532,BK532)</f>
        <v>-165.04535769643172</v>
      </c>
    </row>
    <row r="533" spans="14:68" x14ac:dyDescent="0.25">
      <c r="N533" s="11">
        <v>15</v>
      </c>
      <c r="O533" s="51">
        <f t="shared" si="480"/>
        <v>1412537.5446227565</v>
      </c>
      <c r="P533" s="49" t="str">
        <f t="shared" si="481"/>
        <v>37.1583961085025</v>
      </c>
      <c r="Q533" s="18" t="str">
        <f t="shared" si="482"/>
        <v>1+6956.49733141839i</v>
      </c>
      <c r="R533" s="18">
        <f t="shared" si="494"/>
        <v>6956.4974032936407</v>
      </c>
      <c r="S533" s="18">
        <f t="shared" si="495"/>
        <v>1.5706525762915224</v>
      </c>
      <c r="T533" s="18" t="str">
        <f t="shared" si="483"/>
        <v>1+7.98771163159191i</v>
      </c>
      <c r="U533" s="18">
        <f t="shared" si="496"/>
        <v>8.0500644164794544</v>
      </c>
      <c r="V533" s="18">
        <f t="shared" si="497"/>
        <v>1.4462519940709129</v>
      </c>
      <c r="W533" s="32" t="str">
        <f t="shared" si="484"/>
        <v>1-69.9155893679555i</v>
      </c>
      <c r="X533" s="18">
        <f t="shared" si="498"/>
        <v>69.922740483111596</v>
      </c>
      <c r="Y533" s="18">
        <f t="shared" si="499"/>
        <v>-1.5564943402731939</v>
      </c>
      <c r="Z533" s="32" t="str">
        <f t="shared" si="485"/>
        <v>-48.881557874222+16.8333626606511i</v>
      </c>
      <c r="AA533" s="18">
        <f t="shared" si="500"/>
        <v>51.698827826904513</v>
      </c>
      <c r="AB533" s="18">
        <f t="shared" si="501"/>
        <v>2.8099418259583819</v>
      </c>
      <c r="AC533" s="32" t="str">
        <f>IMDIV(IMSUM(COMPLEX(0,2*PI()*O533*Constants!$B$61*Constants!$B$62),COMPLEX(1,0)),IMSUM(COMPLEX(0,2*PI()*O533*Constants!$B$61*Constants!$B$62),COMPLEX(2,0)))</f>
        <v>0.998418117968672+0.028079150003216i</v>
      </c>
      <c r="AD533" s="18">
        <f t="shared" si="502"/>
        <v>0.99881288385413225</v>
      </c>
      <c r="AE533" s="18">
        <f t="shared" si="503"/>
        <v>2.8116227103628978E-2</v>
      </c>
      <c r="AF533" s="66" t="str">
        <f t="shared" si="504"/>
        <v>-0.0143525783896974+0.0562870947144507i</v>
      </c>
      <c r="AG533" s="64">
        <f t="shared" si="505"/>
        <v>-24.718248622687803</v>
      </c>
      <c r="AH533" s="61">
        <f t="shared" si="506"/>
        <v>104.30494898030535</v>
      </c>
      <c r="AI533" s="50" t="str">
        <f t="shared" si="486"/>
        <v>107.538871525172</v>
      </c>
      <c r="AJ533" s="50" t="str">
        <f t="shared" si="487"/>
        <v>1+6613.20281186994i</v>
      </c>
      <c r="AK533" s="50">
        <f t="shared" si="507"/>
        <v>6613.20288747627</v>
      </c>
      <c r="AL533" s="50">
        <f t="shared" si="508"/>
        <v>1.5706451141342803</v>
      </c>
      <c r="AM533" s="50" t="str">
        <f t="shared" si="488"/>
        <v>1+7.98771163159191i</v>
      </c>
      <c r="AN533" s="50">
        <f t="shared" si="509"/>
        <v>8.0500644164794544</v>
      </c>
      <c r="AO533" s="50">
        <f t="shared" si="510"/>
        <v>1.4462519940709129</v>
      </c>
      <c r="AP533" s="50" t="str">
        <f t="shared" si="489"/>
        <v>1-22.9660554214843i</v>
      </c>
      <c r="AQ533" s="50">
        <f t="shared" si="511"/>
        <v>22.98781637352031</v>
      </c>
      <c r="AR533" s="50">
        <f t="shared" si="512"/>
        <v>-1.5272812905451387</v>
      </c>
      <c r="AS533" s="59" t="str">
        <f t="shared" si="513"/>
        <v>-0.24311288694123-2.99936095954027i</v>
      </c>
      <c r="AT533" s="50">
        <f t="shared" si="514"/>
        <v>9.5690140614053263</v>
      </c>
      <c r="AU533" s="61">
        <f t="shared" si="515"/>
        <v>-94.633972857625182</v>
      </c>
      <c r="AV533" s="32" t="str">
        <f t="shared" si="490"/>
        <v>-0.0000333333333333333</v>
      </c>
      <c r="AW533" s="32" t="str">
        <f t="shared" si="491"/>
        <v>0.426011287018235i</v>
      </c>
      <c r="AX533" s="32">
        <f t="shared" si="516"/>
        <v>0.42601128701823499</v>
      </c>
      <c r="AY533" s="32">
        <f t="shared" si="517"/>
        <v>1.5707963267948966</v>
      </c>
      <c r="AZ533" s="32" t="str">
        <f t="shared" si="492"/>
        <v>1+173.806688280009i</v>
      </c>
      <c r="BA533" s="32">
        <f t="shared" si="518"/>
        <v>173.80956501546231</v>
      </c>
      <c r="BB533" s="32">
        <f t="shared" si="519"/>
        <v>1.565042871759363</v>
      </c>
      <c r="BC533" s="32" t="str">
        <f t="shared" si="493"/>
        <v>1+8342.72103744046i</v>
      </c>
      <c r="BD533" s="32">
        <f t="shared" si="520"/>
        <v>8342.7210973729434</v>
      </c>
      <c r="BE533" s="32">
        <f t="shared" si="521"/>
        <v>1.5706764618262943</v>
      </c>
      <c r="BF533" s="59" t="str">
        <f t="shared" si="522"/>
        <v>-0.0000211580011645187+0.00375564730124193i</v>
      </c>
      <c r="BG533" s="50">
        <f t="shared" si="523"/>
        <v>-48.506166161173709</v>
      </c>
      <c r="BH533" s="61">
        <f t="shared" si="524"/>
        <v>90.322780934341978</v>
      </c>
      <c r="BI533" s="59" t="str">
        <f t="shared" si="525"/>
        <v>-0.000211090803488793-0.000055094144710646i</v>
      </c>
      <c r="BJ533" s="64">
        <f t="shared" si="526"/>
        <v>-73.224414783861505</v>
      </c>
      <c r="BK533" s="61">
        <f t="shared" si="527"/>
        <v>-165.37227008535268</v>
      </c>
      <c r="BL533" s="59" t="str">
        <f t="shared" si="478"/>
        <v>0.0112696856758928-0.0008495857750632i</v>
      </c>
      <c r="BM533" s="64">
        <f t="shared" si="528"/>
        <v>-38.937152099768412</v>
      </c>
      <c r="BN533" s="61">
        <f t="shared" si="479"/>
        <v>-4.3111919232832152</v>
      </c>
      <c r="BO533" s="50">
        <f t="shared" si="529"/>
        <v>-73.224414783861505</v>
      </c>
      <c r="BP533" s="61">
        <f t="shared" si="530"/>
        <v>-165.37227008535268</v>
      </c>
    </row>
    <row r="534" spans="14:68" x14ac:dyDescent="0.25">
      <c r="N534" s="11">
        <v>16</v>
      </c>
      <c r="O534" s="51">
        <f t="shared" si="480"/>
        <v>1445439.7707459298</v>
      </c>
      <c r="P534" s="49" t="str">
        <f t="shared" si="481"/>
        <v>37.1583961085025</v>
      </c>
      <c r="Q534" s="18" t="str">
        <f t="shared" si="482"/>
        <v>1+7118.53497006021i</v>
      </c>
      <c r="R534" s="18">
        <f t="shared" si="494"/>
        <v>7118.5350402993818</v>
      </c>
      <c r="S534" s="18">
        <f t="shared" si="495"/>
        <v>1.5706558484524247</v>
      </c>
      <c r="T534" s="18" t="str">
        <f t="shared" si="483"/>
        <v>1+8.17376933696748i</v>
      </c>
      <c r="U534" s="18">
        <f t="shared" si="496"/>
        <v>8.2347134239115931</v>
      </c>
      <c r="V534" s="18">
        <f t="shared" si="497"/>
        <v>1.4490587224462448</v>
      </c>
      <c r="W534" s="32" t="str">
        <f t="shared" si="484"/>
        <v>1-71.5441326514078i</v>
      </c>
      <c r="X534" s="18">
        <f t="shared" si="498"/>
        <v>71.551121003393348</v>
      </c>
      <c r="Y534" s="18">
        <f t="shared" si="499"/>
        <v>-1.5568198503442079</v>
      </c>
      <c r="Z534" s="32" t="str">
        <f t="shared" si="485"/>
        <v>-51.2324032713511+17.2254620471648i</v>
      </c>
      <c r="AA534" s="18">
        <f t="shared" si="500"/>
        <v>54.05067703273162</v>
      </c>
      <c r="AB534" s="18">
        <f t="shared" si="501"/>
        <v>2.8172445393332226</v>
      </c>
      <c r="AC534" s="32" t="str">
        <f>IMDIV(IMSUM(COMPLEX(0,2*PI()*O534*Constants!$B$61*Constants!$B$62),COMPLEX(1,0)),IMSUM(COMPLEX(0,2*PI()*O534*Constants!$B$61*Constants!$B$62),COMPLEX(2,0)))</f>
        <v>0.998489099246673+0.0274438983305379i</v>
      </c>
      <c r="AD534" s="18">
        <f t="shared" si="502"/>
        <v>0.9988661816629939</v>
      </c>
      <c r="AE534" s="18">
        <f t="shared" si="503"/>
        <v>2.7478507941038503E-2</v>
      </c>
      <c r="AF534" s="66" t="str">
        <f t="shared" si="504"/>
        <v>-0.013742586090493+0.0551514230828631i</v>
      </c>
      <c r="AG534" s="64">
        <f t="shared" si="505"/>
        <v>-24.907251272071868</v>
      </c>
      <c r="AH534" s="61">
        <f t="shared" si="506"/>
        <v>103.99197156428058</v>
      </c>
      <c r="AI534" s="50" t="str">
        <f t="shared" si="486"/>
        <v>107.538871525172</v>
      </c>
      <c r="AJ534" s="50" t="str">
        <f t="shared" si="487"/>
        <v>1+6767.2440939179i</v>
      </c>
      <c r="AK534" s="50">
        <f t="shared" si="507"/>
        <v>6767.2441678032192</v>
      </c>
      <c r="AL534" s="50">
        <f t="shared" si="508"/>
        <v>1.570648556154612</v>
      </c>
      <c r="AM534" s="50" t="str">
        <f t="shared" si="488"/>
        <v>1+8.17376933696748i</v>
      </c>
      <c r="AN534" s="50">
        <f t="shared" si="509"/>
        <v>8.2347134239115931</v>
      </c>
      <c r="AO534" s="50">
        <f t="shared" si="510"/>
        <v>1.4490587224462448</v>
      </c>
      <c r="AP534" s="50" t="str">
        <f t="shared" si="489"/>
        <v>1-23.5010035731363i</v>
      </c>
      <c r="AQ534" s="50">
        <f t="shared" si="511"/>
        <v>23.522269638463143</v>
      </c>
      <c r="AR534" s="50">
        <f t="shared" si="512"/>
        <v>-1.5282706060573676</v>
      </c>
      <c r="AS534" s="59" t="str">
        <f t="shared" si="513"/>
        <v>-0.243112997860381-3.06847443423866i</v>
      </c>
      <c r="AT534" s="50">
        <f t="shared" si="514"/>
        <v>9.7656268457654516</v>
      </c>
      <c r="AU534" s="61">
        <f t="shared" si="515"/>
        <v>-94.530039984174579</v>
      </c>
      <c r="AV534" s="32" t="str">
        <f t="shared" si="490"/>
        <v>-0.0000333333333333333</v>
      </c>
      <c r="AW534" s="32" t="str">
        <f t="shared" si="491"/>
        <v>0.435934364638265i</v>
      </c>
      <c r="AX534" s="32">
        <f t="shared" si="516"/>
        <v>0.43593436463826502</v>
      </c>
      <c r="AY534" s="32">
        <f t="shared" si="517"/>
        <v>1.5707963267948966</v>
      </c>
      <c r="AZ534" s="32" t="str">
        <f t="shared" si="492"/>
        <v>1+177.855166128459i</v>
      </c>
      <c r="BA534" s="32">
        <f t="shared" si="518"/>
        <v>177.85797738246589</v>
      </c>
      <c r="BB534" s="32">
        <f t="shared" si="519"/>
        <v>1.5651738335928778</v>
      </c>
      <c r="BC534" s="32" t="str">
        <f t="shared" si="493"/>
        <v>1+8537.04797416605i</v>
      </c>
      <c r="BD534" s="32">
        <f t="shared" si="520"/>
        <v>8537.048032734303</v>
      </c>
      <c r="BE534" s="32">
        <f t="shared" si="521"/>
        <v>1.5706791902860644</v>
      </c>
      <c r="BF534" s="59" t="str">
        <f t="shared" si="522"/>
        <v>-0.0000202057643503021+0.0036701636855573i</v>
      </c>
      <c r="BG534" s="50">
        <f t="shared" si="523"/>
        <v>-48.706159693727749</v>
      </c>
      <c r="BH534" s="61">
        <f t="shared" si="524"/>
        <v>90.315433703233694</v>
      </c>
      <c r="BI534" s="59" t="str">
        <f t="shared" si="525"/>
        <v>-0.000202137070749423-0.0000515519170733684i</v>
      </c>
      <c r="BJ534" s="64">
        <f t="shared" si="526"/>
        <v>-73.613410965799602</v>
      </c>
      <c r="BK534" s="61">
        <f t="shared" si="527"/>
        <v>-165.69259473248576</v>
      </c>
      <c r="BL534" s="59" t="str">
        <f t="shared" si="478"/>
        <v>0.011266715722549-0.000830263624900987i</v>
      </c>
      <c r="BM534" s="64">
        <f t="shared" si="528"/>
        <v>-38.940532847962274</v>
      </c>
      <c r="BN534" s="61">
        <f t="shared" si="479"/>
        <v>-4.2146062809408757</v>
      </c>
      <c r="BO534" s="50">
        <f t="shared" si="529"/>
        <v>-73.613410965799602</v>
      </c>
      <c r="BP534" s="61">
        <f t="shared" si="530"/>
        <v>-165.69259473248576</v>
      </c>
    </row>
    <row r="535" spans="14:68" x14ac:dyDescent="0.25">
      <c r="N535" s="11">
        <v>17</v>
      </c>
      <c r="O535" s="51">
        <f t="shared" si="480"/>
        <v>1479108.3881682095</v>
      </c>
      <c r="P535" s="49" t="str">
        <f t="shared" si="481"/>
        <v>37.1583961085025</v>
      </c>
      <c r="Q535" s="18" t="str">
        <f t="shared" si="482"/>
        <v>1+7284.34695016809i</v>
      </c>
      <c r="R535" s="18">
        <f t="shared" si="494"/>
        <v>7284.3470188084229</v>
      </c>
      <c r="S535" s="18">
        <f t="shared" si="495"/>
        <v>1.5706590461298544</v>
      </c>
      <c r="T535" s="18" t="str">
        <f t="shared" si="483"/>
        <v>1+8.36416088303812i</v>
      </c>
      <c r="U535" s="18">
        <f t="shared" si="496"/>
        <v>8.4237276355153519</v>
      </c>
      <c r="V535" s="18">
        <f t="shared" si="497"/>
        <v>1.4518034257153987</v>
      </c>
      <c r="W535" s="32" t="str">
        <f t="shared" si="484"/>
        <v>1-73.2106095809902i</v>
      </c>
      <c r="X535" s="18">
        <f t="shared" si="498"/>
        <v>73.217438873673899</v>
      </c>
      <c r="Y535" s="18">
        <f t="shared" si="499"/>
        <v>-1.5571379537635606</v>
      </c>
      <c r="Z535" s="32" t="str">
        <f t="shared" si="485"/>
        <v>-53.6940405987388+17.6266946016618i</v>
      </c>
      <c r="AA535" s="18">
        <f t="shared" si="500"/>
        <v>56.513275948216489</v>
      </c>
      <c r="AB535" s="18">
        <f t="shared" si="501"/>
        <v>2.824396721520988</v>
      </c>
      <c r="AC535" s="32" t="str">
        <f>IMDIV(IMSUM(COMPLEX(0,2*PI()*O535*Constants!$B$61*Constants!$B$62),COMPLEX(1,0)),IMSUM(COMPLEX(0,2*PI()*O535*Constants!$B$61*Constants!$B$62),COMPLEX(2,0)))</f>
        <v>0.998556904716391+0.0268228469370241i</v>
      </c>
      <c r="AD535" s="18">
        <f t="shared" si="502"/>
        <v>0.99891709219263358</v>
      </c>
      <c r="AE535" s="18">
        <f t="shared" si="503"/>
        <v>2.6855152965943249E-2</v>
      </c>
      <c r="AF535" s="66" t="str">
        <f t="shared" si="504"/>
        <v>-0.0131570639420219+0.054032619507209i</v>
      </c>
      <c r="AG535" s="64">
        <f t="shared" si="505"/>
        <v>-25.096717122431187</v>
      </c>
      <c r="AH535" s="61">
        <f t="shared" si="506"/>
        <v>103.68531681794128</v>
      </c>
      <c r="AI535" s="50" t="str">
        <f t="shared" si="486"/>
        <v>107.538871525172</v>
      </c>
      <c r="AJ535" s="50" t="str">
        <f t="shared" si="487"/>
        <v>1+6924.8734583595i</v>
      </c>
      <c r="AK535" s="50">
        <f t="shared" si="507"/>
        <v>6924.8735305629853</v>
      </c>
      <c r="AL535" s="50">
        <f t="shared" si="508"/>
        <v>1.5706519198249986</v>
      </c>
      <c r="AM535" s="50" t="str">
        <f t="shared" si="488"/>
        <v>1+8.36416088303812i</v>
      </c>
      <c r="AN535" s="50">
        <f t="shared" si="509"/>
        <v>8.4237276355153519</v>
      </c>
      <c r="AO535" s="50">
        <f t="shared" si="510"/>
        <v>1.4518034257153987</v>
      </c>
      <c r="AP535" s="50" t="str">
        <f t="shared" si="489"/>
        <v>1-24.0484122679553i</v>
      </c>
      <c r="AQ535" s="50">
        <f t="shared" si="511"/>
        <v>24.069194681366948</v>
      </c>
      <c r="AR535" s="50">
        <f t="shared" si="512"/>
        <v>-1.529237482491542</v>
      </c>
      <c r="AS535" s="59" t="str">
        <f t="shared" si="513"/>
        <v>-0.243113103787349-3.13921485469666i</v>
      </c>
      <c r="AT535" s="50">
        <f t="shared" si="514"/>
        <v>9.9623900922941875</v>
      </c>
      <c r="AU535" s="61">
        <f t="shared" si="515"/>
        <v>-94.428370733941989</v>
      </c>
      <c r="AV535" s="32" t="str">
        <f t="shared" si="490"/>
        <v>-0.0000333333333333333</v>
      </c>
      <c r="AW535" s="32" t="str">
        <f t="shared" si="491"/>
        <v>0.4460885804287i</v>
      </c>
      <c r="AX535" s="32">
        <f t="shared" si="516"/>
        <v>0.44608858042869998</v>
      </c>
      <c r="AY535" s="32">
        <f t="shared" si="517"/>
        <v>1.5707963267948966</v>
      </c>
      <c r="AZ535" s="32" t="str">
        <f t="shared" si="492"/>
        <v>1+181.997945140181i</v>
      </c>
      <c r="BA535" s="32">
        <f t="shared" si="518"/>
        <v>182.00069240321127</v>
      </c>
      <c r="BB535" s="32">
        <f t="shared" si="519"/>
        <v>1.5653018145574757</v>
      </c>
      <c r="BC535" s="32" t="str">
        <f t="shared" si="493"/>
        <v>1+8735.90136672872i</v>
      </c>
      <c r="BD535" s="32">
        <f t="shared" si="520"/>
        <v>8735.9014239637982</v>
      </c>
      <c r="BE535" s="32">
        <f t="shared" si="521"/>
        <v>1.5706818566385095</v>
      </c>
      <c r="BF535" s="59" t="str">
        <f t="shared" si="522"/>
        <v>-0.0000192963826039174+0.00358662555718636i</v>
      </c>
      <c r="BG535" s="50">
        <f t="shared" si="523"/>
        <v>-48.906153517355847</v>
      </c>
      <c r="BH535" s="61">
        <f t="shared" si="524"/>
        <v>90.30825370484601</v>
      </c>
      <c r="BI535" s="59" t="str">
        <f t="shared" si="525"/>
        <v>-0.000193540890306513-0.0000482320958910939i</v>
      </c>
      <c r="BJ535" s="64">
        <f t="shared" si="526"/>
        <v>-74.002870639787034</v>
      </c>
      <c r="BK535" s="61">
        <f t="shared" si="527"/>
        <v>-166.00642947721269</v>
      </c>
      <c r="BL535" s="59" t="str">
        <f t="shared" si="478"/>
        <v>0.0112638794308208-0.000811380180418478i</v>
      </c>
      <c r="BM535" s="64">
        <f t="shared" si="528"/>
        <v>-38.943763425061675</v>
      </c>
      <c r="BN535" s="61">
        <f t="shared" si="479"/>
        <v>-4.1201170290959759</v>
      </c>
      <c r="BO535" s="50">
        <f t="shared" si="529"/>
        <v>-74.002870639787034</v>
      </c>
      <c r="BP535" s="61">
        <f t="shared" si="530"/>
        <v>-166.00642947721269</v>
      </c>
    </row>
    <row r="536" spans="14:68" x14ac:dyDescent="0.25">
      <c r="N536" s="11">
        <v>18</v>
      </c>
      <c r="O536" s="51">
        <f t="shared" si="480"/>
        <v>1513561.2484362102</v>
      </c>
      <c r="P536" s="49" t="str">
        <f t="shared" si="481"/>
        <v>37.1583961085025</v>
      </c>
      <c r="Q536" s="18" t="str">
        <f t="shared" si="482"/>
        <v>1+7454.0211874487i</v>
      </c>
      <c r="R536" s="18">
        <f t="shared" si="494"/>
        <v>7454.0212545265877</v>
      </c>
      <c r="S536" s="18">
        <f t="shared" si="495"/>
        <v>1.5706621710192619</v>
      </c>
      <c r="T536" s="18" t="str">
        <f t="shared" si="483"/>
        <v>1+8.55898721792172i</v>
      </c>
      <c r="U536" s="18">
        <f t="shared" si="496"/>
        <v>8.6172073316444813</v>
      </c>
      <c r="V536" s="18">
        <f t="shared" si="497"/>
        <v>1.4544873936520895</v>
      </c>
      <c r="W536" s="32" t="str">
        <f t="shared" si="484"/>
        <v>1-74.9159037448295i</v>
      </c>
      <c r="X536" s="18">
        <f t="shared" si="498"/>
        <v>74.922577597841354</v>
      </c>
      <c r="Y536" s="18">
        <f t="shared" si="499"/>
        <v>-1.5574488189362377</v>
      </c>
      <c r="Z536" s="32" t="str">
        <f t="shared" si="485"/>
        <v>-56.2716913191944+18.0372730629535i</v>
      </c>
      <c r="AA536" s="18">
        <f t="shared" si="500"/>
        <v>59.091847690440744</v>
      </c>
      <c r="AB536" s="18">
        <f t="shared" si="501"/>
        <v>2.8314008297873792</v>
      </c>
      <c r="AC536" s="32" t="str">
        <f>IMDIV(IMSUM(COMPLEX(0,2*PI()*O536*Constants!$B$61*Constants!$B$62),COMPLEX(1,0)),IMSUM(COMPLEX(0,2*PI()*O536*Constants!$B$61*Constants!$B$62),COMPLEX(2,0)))</f>
        <v>0.998621675658935+0.0262156898162776i</v>
      </c>
      <c r="AD536" s="18">
        <f t="shared" si="502"/>
        <v>0.99896572187858501</v>
      </c>
      <c r="AE536" s="18">
        <f t="shared" si="503"/>
        <v>2.6245845316935319E-2</v>
      </c>
      <c r="AF536" s="66" t="str">
        <f t="shared" si="504"/>
        <v>-0.0125951510116986+0.0529308251798571i</v>
      </c>
      <c r="AG536" s="64">
        <f t="shared" si="505"/>
        <v>-25.286627955688836</v>
      </c>
      <c r="AH536" s="61">
        <f t="shared" si="506"/>
        <v>103.38488994806552</v>
      </c>
      <c r="AI536" s="50" t="str">
        <f t="shared" si="486"/>
        <v>107.538871525172</v>
      </c>
      <c r="AJ536" s="50" t="str">
        <f t="shared" si="487"/>
        <v>1+7086.17448237027i</v>
      </c>
      <c r="AK536" s="50">
        <f t="shared" si="507"/>
        <v>7086.1745529302043</v>
      </c>
      <c r="AL536" s="50">
        <f t="shared" si="508"/>
        <v>1.5706552069289026</v>
      </c>
      <c r="AM536" s="50" t="str">
        <f t="shared" si="488"/>
        <v>1+8.55898721792172i</v>
      </c>
      <c r="AN536" s="50">
        <f t="shared" si="509"/>
        <v>8.6172073316444813</v>
      </c>
      <c r="AO536" s="50">
        <f t="shared" si="510"/>
        <v>1.4544873936520895</v>
      </c>
      <c r="AP536" s="50" t="str">
        <f t="shared" si="489"/>
        <v>1-24.6085717492772i</v>
      </c>
      <c r="AQ536" s="50">
        <f t="shared" si="511"/>
        <v>24.628881491844567</v>
      </c>
      <c r="AR536" s="50">
        <f t="shared" si="512"/>
        <v>-1.5301824252631491</v>
      </c>
      <c r="AS536" s="59" t="str">
        <f t="shared" si="513"/>
        <v>-0.243113204946818-3.21161972842168i</v>
      </c>
      <c r="AT536" s="50">
        <f t="shared" si="514"/>
        <v>10.15929720159088</v>
      </c>
      <c r="AU536" s="61">
        <f t="shared" si="515"/>
        <v>-94.328920268696137</v>
      </c>
      <c r="AV536" s="32" t="str">
        <f t="shared" si="490"/>
        <v>-0.0000333333333333333</v>
      </c>
      <c r="AW536" s="32" t="str">
        <f t="shared" si="491"/>
        <v>0.456479318289158i</v>
      </c>
      <c r="AX536" s="32">
        <f t="shared" si="516"/>
        <v>0.456479318289158</v>
      </c>
      <c r="AY536" s="32">
        <f t="shared" si="517"/>
        <v>1.5707963267948966</v>
      </c>
      <c r="AZ536" s="32" t="str">
        <f t="shared" si="492"/>
        <v>1+186.237221871445i</v>
      </c>
      <c r="BA536" s="32">
        <f t="shared" si="518"/>
        <v>186.23990660004594</v>
      </c>
      <c r="BB536" s="32">
        <f t="shared" si="519"/>
        <v>1.5654268824935791</v>
      </c>
      <c r="BC536" s="32" t="str">
        <f t="shared" si="493"/>
        <v>1+8939.38664982936i</v>
      </c>
      <c r="BD536" s="32">
        <f t="shared" si="520"/>
        <v>8939.3867057616062</v>
      </c>
      <c r="BE536" s="32">
        <f t="shared" si="521"/>
        <v>1.5706844622973644</v>
      </c>
      <c r="BF536" s="59" t="str">
        <f t="shared" si="522"/>
        <v>-0.0000184279273626293+0.00350498865528073i</v>
      </c>
      <c r="BG536" s="50">
        <f t="shared" si="523"/>
        <v>-49.106147618958296</v>
      </c>
      <c r="BH536" s="61">
        <f t="shared" si="524"/>
        <v>90.301237133210108</v>
      </c>
      <c r="BI536" s="59" t="str">
        <f t="shared" si="525"/>
        <v>-0.000185289839242082-0.0000451212668092096i</v>
      </c>
      <c r="BJ536" s="64">
        <f t="shared" si="526"/>
        <v>-74.392775574647132</v>
      </c>
      <c r="BK536" s="61">
        <f t="shared" si="527"/>
        <v>-166.3138729187244</v>
      </c>
      <c r="BL536" s="59" t="str">
        <f t="shared" si="478"/>
        <v>0.0112611707856754-0.000792925530215794i</v>
      </c>
      <c r="BM536" s="64">
        <f t="shared" si="528"/>
        <v>-38.946850417367436</v>
      </c>
      <c r="BN536" s="61">
        <f t="shared" si="479"/>
        <v>-4.0276831354860319</v>
      </c>
      <c r="BO536" s="50">
        <f t="shared" si="529"/>
        <v>-74.392775574647132</v>
      </c>
      <c r="BP536" s="61">
        <f t="shared" si="530"/>
        <v>-166.3138729187244</v>
      </c>
    </row>
    <row r="537" spans="14:68" x14ac:dyDescent="0.25">
      <c r="N537" s="11">
        <v>19</v>
      </c>
      <c r="O537" s="51">
        <f t="shared" si="480"/>
        <v>1548816.6189124861</v>
      </c>
      <c r="P537" s="49" t="str">
        <f t="shared" si="481"/>
        <v>37.1583961085025</v>
      </c>
      <c r="Q537" s="18" t="str">
        <f t="shared" si="482"/>
        <v>1+7627.64764542853i</v>
      </c>
      <c r="R537" s="18">
        <f t="shared" si="494"/>
        <v>7627.6477109795396</v>
      </c>
      <c r="S537" s="18">
        <f t="shared" si="495"/>
        <v>1.5706652247775046</v>
      </c>
      <c r="T537" s="18" t="str">
        <f t="shared" si="483"/>
        <v>1+8.75835164111986i</v>
      </c>
      <c r="U537" s="18">
        <f t="shared" si="496"/>
        <v>8.8152551562338193</v>
      </c>
      <c r="V537" s="18">
        <f t="shared" si="497"/>
        <v>1.457111894572706</v>
      </c>
      <c r="W537" s="32" t="str">
        <f t="shared" si="484"/>
        <v>1-76.6609193124637i</v>
      </c>
      <c r="X537" s="18">
        <f t="shared" si="498"/>
        <v>76.667441263107705</v>
      </c>
      <c r="Y537" s="18">
        <f t="shared" si="499"/>
        <v>-1.5577526104466013</v>
      </c>
      <c r="Z537" s="32" t="str">
        <f t="shared" si="485"/>
        <v>-58.9708229754876+18.4574151251748i</v>
      </c>
      <c r="AA537" s="18">
        <f t="shared" si="500"/>
        <v>61.791861401881462</v>
      </c>
      <c r="AB537" s="18">
        <f t="shared" si="501"/>
        <v>2.8382593221757455</v>
      </c>
      <c r="AC537" s="32" t="str">
        <f>IMDIV(IMSUM(COMPLEX(0,2*PI()*O537*Constants!$B$61*Constants!$B$62),COMPLEX(1,0)),IMSUM(COMPLEX(0,2*PI()*O537*Constants!$B$61*Constants!$B$62),COMPLEX(2,0)))</f>
        <v>0.998683547141333+0.025622126789249i</v>
      </c>
      <c r="AD537" s="18">
        <f t="shared" si="502"/>
        <v>0.9990121724543698</v>
      </c>
      <c r="AE537" s="18">
        <f t="shared" si="503"/>
        <v>2.5650274675264362E-2</v>
      </c>
      <c r="AF537" s="66" t="str">
        <f t="shared" si="504"/>
        <v>-0.0120560066129716+0.0518461503690377i</v>
      </c>
      <c r="AG537" s="64">
        <f t="shared" si="505"/>
        <v>-25.476966162504212</v>
      </c>
      <c r="AH537" s="61">
        <f t="shared" si="506"/>
        <v>103.09059548344467</v>
      </c>
      <c r="AI537" s="50" t="str">
        <f t="shared" si="486"/>
        <v>107.538871525172</v>
      </c>
      <c r="AJ537" s="50" t="str">
        <f t="shared" si="487"/>
        <v>1+7251.23268988821i</v>
      </c>
      <c r="AK537" s="50">
        <f t="shared" si="507"/>
        <v>7251.232758842003</v>
      </c>
      <c r="AL537" s="50">
        <f t="shared" si="508"/>
        <v>1.5706584192091899</v>
      </c>
      <c r="AM537" s="50" t="str">
        <f t="shared" si="488"/>
        <v>1+8.75835164111986i</v>
      </c>
      <c r="AN537" s="50">
        <f t="shared" si="509"/>
        <v>8.8152551562338193</v>
      </c>
      <c r="AO537" s="50">
        <f t="shared" si="510"/>
        <v>1.457111894572706</v>
      </c>
      <c r="AP537" s="50" t="str">
        <f t="shared" si="489"/>
        <v>1-25.1817790210736i</v>
      </c>
      <c r="AQ537" s="50">
        <f t="shared" si="511"/>
        <v>25.201626825786114</v>
      </c>
      <c r="AR537" s="50">
        <f t="shared" si="512"/>
        <v>-1.5311059286394637</v>
      </c>
      <c r="AS537" s="59" t="str">
        <f t="shared" si="513"/>
        <v>-0.243113301553364-3.28572744543626i</v>
      </c>
      <c r="AT537" s="50">
        <f t="shared" si="514"/>
        <v>10.356341856400517</v>
      </c>
      <c r="AU537" s="61">
        <f t="shared" si="515"/>
        <v>-94.231644338548605</v>
      </c>
      <c r="AV537" s="32" t="str">
        <f t="shared" si="490"/>
        <v>-0.0000333333333333333</v>
      </c>
      <c r="AW537" s="32" t="str">
        <f t="shared" si="491"/>
        <v>0.467112087526392i</v>
      </c>
      <c r="AX537" s="32">
        <f t="shared" si="516"/>
        <v>0.46711208752639199</v>
      </c>
      <c r="AY537" s="32">
        <f t="shared" si="517"/>
        <v>1.5707963267948966</v>
      </c>
      <c r="AZ537" s="32" t="str">
        <f t="shared" si="492"/>
        <v>1+190.575244042886i</v>
      </c>
      <c r="BA537" s="32">
        <f t="shared" si="518"/>
        <v>190.5778676604541</v>
      </c>
      <c r="BB537" s="32">
        <f t="shared" si="519"/>
        <v>1.5655491036982037</v>
      </c>
      <c r="BC537" s="32" t="str">
        <f t="shared" si="493"/>
        <v>1+9147.61171405853i</v>
      </c>
      <c r="BD537" s="32">
        <f t="shared" si="520"/>
        <v>9147.6117687176047</v>
      </c>
      <c r="BE537" s="32">
        <f t="shared" si="521"/>
        <v>1.5706870086441842</v>
      </c>
      <c r="BF537" s="59" t="str">
        <f t="shared" si="522"/>
        <v>-0.0000175985568428207+0.00342520972490026i</v>
      </c>
      <c r="BG537" s="50">
        <f t="shared" si="523"/>
        <v>-49.306141986024876</v>
      </c>
      <c r="BH537" s="61">
        <f t="shared" si="524"/>
        <v>90.294380268944082</v>
      </c>
      <c r="BI537" s="59" t="str">
        <f t="shared" si="525"/>
        <v>-0.000177371770124993-0.0000422067685185631i</v>
      </c>
      <c r="BJ537" s="64">
        <f t="shared" si="526"/>
        <v>-74.783108148529095</v>
      </c>
      <c r="BK537" s="61">
        <f t="shared" si="527"/>
        <v>-166.61502424761122</v>
      </c>
      <c r="BL537" s="59" t="str">
        <f t="shared" si="478"/>
        <v>0.0112585840427366-0.000774889983514666i</v>
      </c>
      <c r="BM537" s="64">
        <f t="shared" si="528"/>
        <v>-38.949800129624357</v>
      </c>
      <c r="BN537" s="61">
        <f t="shared" si="479"/>
        <v>-3.9372640696045393</v>
      </c>
      <c r="BO537" s="50">
        <f t="shared" si="529"/>
        <v>-74.783108148529095</v>
      </c>
      <c r="BP537" s="61">
        <f t="shared" si="530"/>
        <v>-166.61502424761122</v>
      </c>
    </row>
    <row r="538" spans="14:68" x14ac:dyDescent="0.25">
      <c r="N538" s="11">
        <v>20</v>
      </c>
      <c r="O538" s="51">
        <f t="shared" si="480"/>
        <v>1584893.1924611153</v>
      </c>
      <c r="P538" s="49" t="str">
        <f t="shared" si="481"/>
        <v>37.1583961085025</v>
      </c>
      <c r="Q538" s="18" t="str">
        <f t="shared" si="482"/>
        <v>1+7805.3183831538i</v>
      </c>
      <c r="R538" s="18">
        <f t="shared" si="494"/>
        <v>7805.318447212685</v>
      </c>
      <c r="S538" s="18">
        <f t="shared" si="495"/>
        <v>1.5706682090237258</v>
      </c>
      <c r="T538" s="18" t="str">
        <f t="shared" si="483"/>
        <v>1+8.96235985828858i</v>
      </c>
      <c r="U538" s="18">
        <f t="shared" si="496"/>
        <v>9.0179761714845146</v>
      </c>
      <c r="V538" s="18">
        <f t="shared" si="497"/>
        <v>1.4596781753236694</v>
      </c>
      <c r="W538" s="32" t="str">
        <f t="shared" si="484"/>
        <v>1-78.4465815142443i</v>
      </c>
      <c r="X538" s="18">
        <f t="shared" si="498"/>
        <v>78.452955019367977</v>
      </c>
      <c r="Y538" s="18">
        <f t="shared" si="499"/>
        <v>-1.5580494891445091</v>
      </c>
      <c r="Z538" s="32" t="str">
        <f t="shared" si="485"/>
        <v>-61.7971607877395+18.8873435532081i</v>
      </c>
      <c r="AA538" s="18">
        <f t="shared" si="500"/>
        <v>64.619043848718775</v>
      </c>
      <c r="AB538" s="18">
        <f t="shared" si="501"/>
        <v>2.8449746544929315</v>
      </c>
      <c r="AC538" s="32" t="str">
        <f>IMDIV(IMSUM(COMPLEX(0,2*PI()*O538*Constants!$B$61*Constants!$B$62),COMPLEX(1,0)),IMSUM(COMPLEX(0,2*PI()*O538*Constants!$B$61*Constants!$B$62),COMPLEX(2,0)))</f>
        <v>0.998742648283599+0.0250418634462729i</v>
      </c>
      <c r="AD538" s="18">
        <f t="shared" si="502"/>
        <v>0.99905654115540354</v>
      </c>
      <c r="AE538" s="18">
        <f t="shared" si="503"/>
        <v>2.506813716012549E-2</v>
      </c>
      <c r="AF538" s="66" t="str">
        <f t="shared" si="504"/>
        <v>-0.0115388107127902+0.0507786762770162i</v>
      </c>
      <c r="AG538" s="64">
        <f t="shared" si="505"/>
        <v>-25.667714731047859</v>
      </c>
      <c r="AH538" s="61">
        <f t="shared" si="506"/>
        <v>102.80233743587331</v>
      </c>
      <c r="AI538" s="50" t="str">
        <f t="shared" si="486"/>
        <v>107.538871525172</v>
      </c>
      <c r="AJ538" s="50" t="str">
        <f t="shared" si="487"/>
        <v>1+7420.13559695971i</v>
      </c>
      <c r="AK538" s="50">
        <f t="shared" si="507"/>
        <v>7420.1356643439231</v>
      </c>
      <c r="AL538" s="50">
        <f t="shared" si="508"/>
        <v>1.5706615583690533</v>
      </c>
      <c r="AM538" s="50" t="str">
        <f t="shared" si="488"/>
        <v>1+8.96235985828858i</v>
      </c>
      <c r="AN538" s="50">
        <f t="shared" si="509"/>
        <v>9.0179761714845146</v>
      </c>
      <c r="AO538" s="50">
        <f t="shared" si="510"/>
        <v>1.4596781753236694</v>
      </c>
      <c r="AP538" s="50" t="str">
        <f t="shared" si="489"/>
        <v>1-25.768338005427i</v>
      </c>
      <c r="AQ538" s="50">
        <f t="shared" si="511"/>
        <v>25.787734362714641</v>
      </c>
      <c r="AR538" s="50">
        <f t="shared" si="512"/>
        <v>-1.5320084759696655</v>
      </c>
      <c r="AS538" s="59" t="str">
        <f t="shared" si="513"/>
        <v>-0.243113393811896-3.36157729863291i</v>
      </c>
      <c r="AT538" s="50">
        <f t="shared" si="514"/>
        <v>10.553518010185465</v>
      </c>
      <c r="AU538" s="61">
        <f t="shared" si="515"/>
        <v>-94.136499295915485</v>
      </c>
      <c r="AV538" s="32" t="str">
        <f t="shared" si="490"/>
        <v>-0.0000333333333333333</v>
      </c>
      <c r="AW538" s="32" t="str">
        <f t="shared" si="491"/>
        <v>0.47799252577539i</v>
      </c>
      <c r="AX538" s="32">
        <f t="shared" si="516"/>
        <v>0.47799252577538998</v>
      </c>
      <c r="AY538" s="32">
        <f t="shared" si="517"/>
        <v>1.5707963267948966</v>
      </c>
      <c r="AZ538" s="32" t="str">
        <f t="shared" si="492"/>
        <v>1+195.014311731279i</v>
      </c>
      <c r="BA538" s="32">
        <f t="shared" si="518"/>
        <v>195.0168756288144</v>
      </c>
      <c r="BB538" s="32">
        <f t="shared" si="519"/>
        <v>1.5656685429600352</v>
      </c>
      <c r="BC538" s="32" t="str">
        <f t="shared" si="493"/>
        <v>1+9360.68696310141i</v>
      </c>
      <c r="BD538" s="32">
        <f t="shared" si="520"/>
        <v>9360.6870165162927</v>
      </c>
      <c r="BE538" s="32">
        <f t="shared" si="521"/>
        <v>1.5706894970290752</v>
      </c>
      <c r="BF538" s="59" t="str">
        <f t="shared" si="522"/>
        <v>-0.0000168065121360916+0.00334724649422203i</v>
      </c>
      <c r="BG538" s="50">
        <f t="shared" si="523"/>
        <v>-49.506136606608251</v>
      </c>
      <c r="BH538" s="61">
        <f t="shared" si="524"/>
        <v>90.287679477285025</v>
      </c>
      <c r="BI538" s="59" t="str">
        <f t="shared" si="525"/>
        <v>-0.000169774818987197-0.0000394766561449829i</v>
      </c>
      <c r="BJ538" s="64">
        <f t="shared" si="526"/>
        <v>-75.173851337656131</v>
      </c>
      <c r="BK538" s="61">
        <f t="shared" si="527"/>
        <v>-166.90998308684163</v>
      </c>
      <c r="BL538" s="59" t="str">
        <f t="shared" si="478"/>
        <v>0.0112561137161089-0.000757264065469405i</v>
      </c>
      <c r="BM538" s="64">
        <f t="shared" si="528"/>
        <v>-38.952618596422802</v>
      </c>
      <c r="BN538" s="61">
        <f t="shared" si="479"/>
        <v>-3.848819818630469</v>
      </c>
      <c r="BO538" s="50">
        <f t="shared" si="529"/>
        <v>-75.173851337656131</v>
      </c>
      <c r="BP538" s="61">
        <f t="shared" si="530"/>
        <v>-166.90998308684163</v>
      </c>
    </row>
    <row r="539" spans="14:68" x14ac:dyDescent="0.25">
      <c r="N539" s="11">
        <v>21</v>
      </c>
      <c r="O539" s="51">
        <f t="shared" si="480"/>
        <v>1621810.0973589318</v>
      </c>
      <c r="P539" s="49" t="str">
        <f t="shared" si="481"/>
        <v>37.1583961085025</v>
      </c>
      <c r="Q539" s="18" t="str">
        <f t="shared" si="482"/>
        <v>1+7987.1276040014i</v>
      </c>
      <c r="R539" s="18">
        <f t="shared" si="494"/>
        <v>7987.1276666021276</v>
      </c>
      <c r="S539" s="18">
        <f t="shared" si="495"/>
        <v>1.5706711253402117</v>
      </c>
      <c r="T539" s="18" t="str">
        <f t="shared" si="483"/>
        <v>1+9.171120037285i</v>
      </c>
      <c r="U539" s="18">
        <f t="shared" si="496"/>
        <v>9.2254779138151104</v>
      </c>
      <c r="V539" s="18">
        <f t="shared" si="497"/>
        <v>1.4621874612997521</v>
      </c>
      <c r="W539" s="32" t="str">
        <f t="shared" si="484"/>
        <v>1-80.2738371319068i</v>
      </c>
      <c r="X539" s="18">
        <f t="shared" si="498"/>
        <v>80.28006556972845</v>
      </c>
      <c r="Y539" s="18">
        <f t="shared" si="499"/>
        <v>-1.5583396122295285</v>
      </c>
      <c r="Z539" s="32" t="str">
        <f t="shared" si="485"/>
        <v>-64.7566997973841+19.3272863007969i</v>
      </c>
      <c r="AA539" s="18">
        <f t="shared" si="500"/>
        <v>67.579391565783553</v>
      </c>
      <c r="AB539" s="18">
        <f t="shared" si="501"/>
        <v>2.8515492774888216</v>
      </c>
      <c r="AC539" s="32" t="str">
        <f>IMDIV(IMSUM(COMPLEX(0,2*PI()*O539*Constants!$B$61*Constants!$B$62),COMPLEX(1,0)),IMSUM(COMPLEX(0,2*PI()*O539*Constants!$B$61*Constants!$B$62),COMPLEX(2,0)))</f>
        <v>0.99879910251488+0.0244746110855773i</v>
      </c>
      <c r="AD539" s="18">
        <f t="shared" si="502"/>
        <v>0.99909892091440089</v>
      </c>
      <c r="AE539" s="18">
        <f t="shared" si="503"/>
        <v>2.4499135223433118E-2</v>
      </c>
      <c r="AF539" s="66" t="str">
        <f t="shared" si="504"/>
        <v>-0.0110427642395522+0.0497284568407092i</v>
      </c>
      <c r="AG539" s="64">
        <f t="shared" si="505"/>
        <v>-25.858857235140121</v>
      </c>
      <c r="AH539" s="61">
        <f t="shared" si="506"/>
        <v>102.52001945189552</v>
      </c>
      <c r="AI539" s="50" t="str">
        <f t="shared" si="486"/>
        <v>107.538871525172</v>
      </c>
      <c r="AJ539" s="50" t="str">
        <f t="shared" si="487"/>
        <v>1+7592.97275814182i</v>
      </c>
      <c r="AK539" s="50">
        <f t="shared" si="507"/>
        <v>7592.9728239921806</v>
      </c>
      <c r="AL539" s="50">
        <f t="shared" si="508"/>
        <v>1.5706646260729171</v>
      </c>
      <c r="AM539" s="50" t="str">
        <f t="shared" si="488"/>
        <v>1+9.171120037285i</v>
      </c>
      <c r="AN539" s="50">
        <f t="shared" si="509"/>
        <v>9.2254779138151104</v>
      </c>
      <c r="AO539" s="50">
        <f t="shared" si="510"/>
        <v>1.4621874612997521</v>
      </c>
      <c r="AP539" s="50" t="str">
        <f t="shared" si="489"/>
        <v>1-26.3685597036752i</v>
      </c>
      <c r="AQ539" s="50">
        <f t="shared" si="511"/>
        <v>26.38751486681312</v>
      </c>
      <c r="AR539" s="50">
        <f t="shared" si="512"/>
        <v>-1.5328905399112802</v>
      </c>
      <c r="AS539" s="59" t="str">
        <f t="shared" si="513"/>
        <v>-0.243113481918111-3.4392095046079i</v>
      </c>
      <c r="AT539" s="50">
        <f t="shared" si="514"/>
        <v>10.750819876105211</v>
      </c>
      <c r="AU539" s="61">
        <f t="shared" si="515"/>
        <v>-94.043442107493988</v>
      </c>
      <c r="AV539" s="32" t="str">
        <f t="shared" si="490"/>
        <v>-0.0000333333333333333</v>
      </c>
      <c r="AW539" s="32" t="str">
        <f t="shared" si="491"/>
        <v>0.489126401988535i</v>
      </c>
      <c r="AX539" s="32">
        <f t="shared" si="516"/>
        <v>0.48912640198853502</v>
      </c>
      <c r="AY539" s="32">
        <f t="shared" si="517"/>
        <v>1.5707963267948966</v>
      </c>
      <c r="AZ539" s="32" t="str">
        <f t="shared" si="492"/>
        <v>1+199.556778589072i</v>
      </c>
      <c r="BA539" s="32">
        <f t="shared" si="518"/>
        <v>199.55928412591558</v>
      </c>
      <c r="BB539" s="32">
        <f t="shared" si="519"/>
        <v>1.5657852635937126</v>
      </c>
      <c r="BC539" s="32" t="str">
        <f t="shared" si="493"/>
        <v>1+9578.72537227546i</v>
      </c>
      <c r="BD539" s="32">
        <f t="shared" si="520"/>
        <v>9578.725424474469</v>
      </c>
      <c r="BE539" s="32">
        <f t="shared" si="521"/>
        <v>1.5706919287714121</v>
      </c>
      <c r="BF539" s="59" t="str">
        <f t="shared" si="522"/>
        <v>-0.0000160501134809056+0.00327105765226078i</v>
      </c>
      <c r="BG539" s="50">
        <f t="shared" si="523"/>
        <v>-49.706131469299216</v>
      </c>
      <c r="BH539" s="61">
        <f t="shared" si="524"/>
        <v>90.281131206165981</v>
      </c>
      <c r="BI539" s="59" t="str">
        <f t="shared" si="525"/>
        <v>-0.000162487411664734-0.0000369196658434226i</v>
      </c>
      <c r="BJ539" s="64">
        <f t="shared" si="526"/>
        <v>-75.564988704439344</v>
      </c>
      <c r="BK539" s="61">
        <f t="shared" si="527"/>
        <v>-167.19884934193848</v>
      </c>
      <c r="BL539" s="59" t="str">
        <f t="shared" si="478"/>
        <v>0.0112537545667492-0.000740038512562434i</v>
      </c>
      <c r="BM539" s="64">
        <f t="shared" si="528"/>
        <v>-38.955311593194011</v>
      </c>
      <c r="BN539" s="61">
        <f t="shared" si="479"/>
        <v>-3.7623109013280014</v>
      </c>
      <c r="BO539" s="50">
        <f t="shared" si="529"/>
        <v>-75.564988704439344</v>
      </c>
      <c r="BP539" s="61">
        <f t="shared" si="530"/>
        <v>-167.19884934193848</v>
      </c>
    </row>
    <row r="540" spans="14:68" x14ac:dyDescent="0.25">
      <c r="N540" s="11">
        <v>22</v>
      </c>
      <c r="O540" s="51">
        <f t="shared" si="480"/>
        <v>1659586.9074375622</v>
      </c>
      <c r="P540" s="49" t="str">
        <f t="shared" si="481"/>
        <v>37.1583961085025</v>
      </c>
      <c r="Q540" s="18" t="str">
        <f t="shared" si="482"/>
        <v>1+8173.17170562683i</v>
      </c>
      <c r="R540" s="18">
        <f t="shared" si="494"/>
        <v>8173.1717668025913</v>
      </c>
      <c r="S540" s="18">
        <f t="shared" si="495"/>
        <v>1.5706739752732319</v>
      </c>
      <c r="T540" s="18" t="str">
        <f t="shared" si="483"/>
        <v>1+9.38474286551938i</v>
      </c>
      <c r="U540" s="18">
        <f t="shared" si="496"/>
        <v>9.4378704511090259</v>
      </c>
      <c r="V540" s="18">
        <f t="shared" si="497"/>
        <v>1.4646409564908838</v>
      </c>
      <c r="W540" s="32" t="str">
        <f t="shared" si="484"/>
        <v>1-82.1436550005671i</v>
      </c>
      <c r="X540" s="18">
        <f t="shared" si="498"/>
        <v>82.149741672461701</v>
      </c>
      <c r="Y540" s="18">
        <f t="shared" si="499"/>
        <v>-1.5586231333332865</v>
      </c>
      <c r="Z540" s="32" t="str">
        <f t="shared" si="485"/>
        <v>-67.855717583454+19.7774766314093i</v>
      </c>
      <c r="AA540" s="18">
        <f t="shared" si="500"/>
        <v>70.679183573888352</v>
      </c>
      <c r="AB540" s="18">
        <f t="shared" si="501"/>
        <v>2.8579856342235193</v>
      </c>
      <c r="AC540" s="32" t="str">
        <f>IMDIV(IMSUM(COMPLEX(0,2*PI()*O540*Constants!$B$61*Constants!$B$62),COMPLEX(1,0)),IMSUM(COMPLEX(0,2*PI()*O540*Constants!$B$61*Constants!$B$62),COMPLEX(2,0)))</f>
        <v>0.998853027819074+0.0239200866486564i</v>
      </c>
      <c r="AD540" s="18">
        <f t="shared" si="502"/>
        <v>0.99913940054859762</v>
      </c>
      <c r="AE540" s="18">
        <f t="shared" si="503"/>
        <v>2.3942977544281666E-2</v>
      </c>
      <c r="AF540" s="66" t="str">
        <f t="shared" si="504"/>
        <v>-0.0105670892994235+0.0486955204721512i</v>
      </c>
      <c r="AG540" s="64">
        <f t="shared" si="505"/>
        <v>-26.050377821850908</v>
      </c>
      <c r="AH540" s="61">
        <f t="shared" si="506"/>
        <v>102.24354495552291</v>
      </c>
      <c r="AI540" s="50" t="str">
        <f t="shared" si="486"/>
        <v>107.538871525172</v>
      </c>
      <c r="AJ540" s="50" t="str">
        <f t="shared" si="487"/>
        <v>1+7769.83581398522i</v>
      </c>
      <c r="AK540" s="50">
        <f t="shared" si="507"/>
        <v>7769.8358783366439</v>
      </c>
      <c r="AL540" s="50">
        <f t="shared" si="508"/>
        <v>1.5706676239473181</v>
      </c>
      <c r="AM540" s="50" t="str">
        <f t="shared" si="488"/>
        <v>1+9.38474286551938i</v>
      </c>
      <c r="AN540" s="50">
        <f t="shared" si="509"/>
        <v>9.4378704511090259</v>
      </c>
      <c r="AO540" s="50">
        <f t="shared" si="510"/>
        <v>1.4646409564908838</v>
      </c>
      <c r="AP540" s="50" t="str">
        <f t="shared" si="489"/>
        <v>1-26.9827623613076i</v>
      </c>
      <c r="AQ540" s="50">
        <f t="shared" si="511"/>
        <v>27.001286351705506</v>
      </c>
      <c r="AR540" s="50">
        <f t="shared" si="512"/>
        <v>-1.5337525826529268</v>
      </c>
      <c r="AS540" s="59" t="str">
        <f t="shared" si="513"/>
        <v>-0.243113566058894-3.51866522498456i</v>
      </c>
      <c r="AT540" s="50">
        <f t="shared" si="514"/>
        <v>10.948241916393332</v>
      </c>
      <c r="AU540" s="61">
        <f t="shared" si="515"/>
        <v>-93.952430364393408</v>
      </c>
      <c r="AV540" s="32" t="str">
        <f t="shared" si="490"/>
        <v>-0.0000333333333333333</v>
      </c>
      <c r="AW540" s="32" t="str">
        <f t="shared" si="491"/>
        <v>0.500519619494366i</v>
      </c>
      <c r="AX540" s="32">
        <f t="shared" si="516"/>
        <v>0.50051961949436596</v>
      </c>
      <c r="AY540" s="32">
        <f t="shared" si="517"/>
        <v>1.5707963267948966</v>
      </c>
      <c r="AZ540" s="32" t="str">
        <f t="shared" si="492"/>
        <v>1+204.20505309232i</v>
      </c>
      <c r="BA540" s="32">
        <f t="shared" si="518"/>
        <v>204.20750159687381</v>
      </c>
      <c r="BB540" s="32">
        <f t="shared" si="519"/>
        <v>1.5658993274733324</v>
      </c>
      <c r="BC540" s="32" t="str">
        <f t="shared" si="493"/>
        <v>1+9801.84254843137i</v>
      </c>
      <c r="BD540" s="32">
        <f t="shared" si="520"/>
        <v>9801.8425994421868</v>
      </c>
      <c r="BE540" s="32">
        <f t="shared" si="521"/>
        <v>1.5706943051605367</v>
      </c>
      <c r="BF540" s="59" t="str">
        <f t="shared" si="522"/>
        <v>-0.0000153277567018951+0.0031966028270905i</v>
      </c>
      <c r="BG540" s="50">
        <f t="shared" si="523"/>
        <v>-49.906126563201418</v>
      </c>
      <c r="BH540" s="61">
        <f t="shared" si="524"/>
        <v>90.274731984336199</v>
      </c>
      <c r="BI540" s="59" t="str">
        <f t="shared" si="525"/>
        <v>-0.000155498268634093-0.0000345251806189242i</v>
      </c>
      <c r="BJ540" s="64">
        <f t="shared" si="526"/>
        <v>-75.956504385052327</v>
      </c>
      <c r="BK540" s="61">
        <f t="shared" si="527"/>
        <v>-167.48172306014089</v>
      </c>
      <c r="BL540" s="59" t="str">
        <f t="shared" si="478"/>
        <v>0.0112515015913622-0.000723204268083931i</v>
      </c>
      <c r="BM540" s="64">
        <f t="shared" si="528"/>
        <v>-38.957884646808047</v>
      </c>
      <c r="BN540" s="61">
        <f t="shared" si="479"/>
        <v>-3.6776983800571914</v>
      </c>
      <c r="BO540" s="50">
        <f t="shared" si="529"/>
        <v>-75.956504385052327</v>
      </c>
      <c r="BP540" s="61">
        <f t="shared" si="530"/>
        <v>-167.48172306014089</v>
      </c>
    </row>
    <row r="541" spans="14:68" x14ac:dyDescent="0.25">
      <c r="N541" s="11">
        <v>23</v>
      </c>
      <c r="O541" s="51">
        <f t="shared" si="480"/>
        <v>1698243.6524617488</v>
      </c>
      <c r="P541" s="49" t="str">
        <f t="shared" si="481"/>
        <v>37.1583961085025</v>
      </c>
      <c r="Q541" s="18" t="str">
        <f t="shared" si="482"/>
        <v>1+8363.54933107532i</v>
      </c>
      <c r="R541" s="18">
        <f t="shared" si="494"/>
        <v>8363.5493908585504</v>
      </c>
      <c r="S541" s="18">
        <f t="shared" si="495"/>
        <v>1.5706767603338585</v>
      </c>
      <c r="T541" s="18" t="str">
        <f t="shared" si="483"/>
        <v>1+9.60334160864284i</v>
      </c>
      <c r="U541" s="18">
        <f t="shared" si="496"/>
        <v>9.6552664412894806</v>
      </c>
      <c r="V541" s="18">
        <f t="shared" si="497"/>
        <v>1.4670398435551344</v>
      </c>
      <c r="W541" s="32" t="str">
        <f t="shared" si="484"/>
        <v>1-84.0570265224088i</v>
      </c>
      <c r="X541" s="18">
        <f t="shared" si="498"/>
        <v>84.06297465465363</v>
      </c>
      <c r="Y541" s="18">
        <f t="shared" si="499"/>
        <v>-1.5589002025999956</v>
      </c>
      <c r="Z541" s="32" t="str">
        <f t="shared" si="485"/>
        <v>-71.1007875781658+20.2381532419176i</v>
      </c>
      <c r="AA541" s="18">
        <f t="shared" si="500"/>
        <v>73.924994696508406</v>
      </c>
      <c r="AB541" s="18">
        <f t="shared" si="501"/>
        <v>2.8642861576157825</v>
      </c>
      <c r="AC541" s="32" t="str">
        <f>IMDIV(IMSUM(COMPLEX(0,2*PI()*O541*Constants!$B$61*Constants!$B$62),COMPLEX(1,0)),IMSUM(COMPLEX(0,2*PI()*O541*Constants!$B$61*Constants!$B$62),COMPLEX(2,0)))</f>
        <v>0.998904536970306+0.0233780126528652i</v>
      </c>
      <c r="AD541" s="18">
        <f t="shared" si="502"/>
        <v>0.99917806493910732</v>
      </c>
      <c r="AE541" s="18">
        <f t="shared" si="503"/>
        <v>2.3399378923273349E-2</v>
      </c>
      <c r="AF541" s="66" t="str">
        <f t="shared" si="504"/>
        <v>-0.0101110293086358+0.04767987173685i</v>
      </c>
      <c r="AG541" s="64">
        <f t="shared" si="505"/>
        <v>-26.242261198650997</v>
      </c>
      <c r="AH541" s="61">
        <f t="shared" si="506"/>
        <v>101.97281728216512</v>
      </c>
      <c r="AI541" s="50" t="str">
        <f t="shared" si="486"/>
        <v>107.538871525172</v>
      </c>
      <c r="AJ541" s="50" t="str">
        <f t="shared" si="487"/>
        <v>1+7950.81853962315i</v>
      </c>
      <c r="AK541" s="50">
        <f t="shared" si="507"/>
        <v>7950.8186025097566</v>
      </c>
      <c r="AL541" s="50">
        <f t="shared" si="508"/>
        <v>1.5706705535817684</v>
      </c>
      <c r="AM541" s="50" t="str">
        <f t="shared" si="488"/>
        <v>1+9.60334160864284i</v>
      </c>
      <c r="AN541" s="50">
        <f t="shared" si="509"/>
        <v>9.6552664412894806</v>
      </c>
      <c r="AO541" s="50">
        <f t="shared" si="510"/>
        <v>1.4670398435551344</v>
      </c>
      <c r="AP541" s="50" t="str">
        <f t="shared" si="489"/>
        <v>1-27.6112716367031i</v>
      </c>
      <c r="AQ541" s="50">
        <f t="shared" si="511"/>
        <v>27.629374249081451</v>
      </c>
      <c r="AR541" s="50">
        <f t="shared" si="512"/>
        <v>-1.5345950561333588</v>
      </c>
      <c r="AS541" s="59" t="str">
        <f t="shared" si="513"/>
        <v>-0.243113646412718-3.59998658823755i</v>
      </c>
      <c r="AT541" s="50">
        <f t="shared" si="514"/>
        <v>11.145778832122293</v>
      </c>
      <c r="AU541" s="61">
        <f t="shared" si="515"/>
        <v>-93.863422290553331</v>
      </c>
      <c r="AV541" s="32" t="str">
        <f t="shared" si="490"/>
        <v>-0.0000333333333333333</v>
      </c>
      <c r="AW541" s="32" t="str">
        <f t="shared" si="491"/>
        <v>0.512178219127616i</v>
      </c>
      <c r="AX541" s="32">
        <f t="shared" si="516"/>
        <v>0.51217821912761596</v>
      </c>
      <c r="AY541" s="32">
        <f t="shared" si="517"/>
        <v>1.5707963267948966</v>
      </c>
      <c r="AZ541" s="32" t="str">
        <f t="shared" si="492"/>
        <v>1+208.961599817691i</v>
      </c>
      <c r="BA541" s="32">
        <f t="shared" si="518"/>
        <v>208.96399258812232</v>
      </c>
      <c r="BB541" s="32">
        <f t="shared" si="519"/>
        <v>1.5660107950651938</v>
      </c>
      <c r="BC541" s="32" t="str">
        <f t="shared" si="493"/>
        <v>1+10030.1567912492i</v>
      </c>
      <c r="BD541" s="32">
        <f t="shared" si="520"/>
        <v>10030.156841098869</v>
      </c>
      <c r="BE541" s="32">
        <f t="shared" si="521"/>
        <v>1.5706966274564418</v>
      </c>
      <c r="BF541" s="59" t="str">
        <f t="shared" si="522"/>
        <v>-0.0000146379098092915+0.00312384256455479i</v>
      </c>
      <c r="BG541" s="50">
        <f t="shared" si="523"/>
        <v>-50.106121877909253</v>
      </c>
      <c r="BH541" s="61">
        <f t="shared" si="524"/>
        <v>90.268478419524186</v>
      </c>
      <c r="BI541" s="59" t="str">
        <f t="shared" si="525"/>
        <v>-0.000148796408468986-0.0000322831973879801i</v>
      </c>
      <c r="BJ541" s="64">
        <f t="shared" si="526"/>
        <v>-76.348383076560253</v>
      </c>
      <c r="BK541" s="61">
        <f t="shared" si="527"/>
        <v>-167.75870429831065</v>
      </c>
      <c r="BL541" s="59" t="str">
        <f t="shared" si="478"/>
        <v>0.0112493500117924-0.000706752477694891i</v>
      </c>
      <c r="BM541" s="64">
        <f t="shared" si="528"/>
        <v>-38.960343045786992</v>
      </c>
      <c r="BN541" s="61">
        <f t="shared" si="479"/>
        <v>-3.5949438710291433</v>
      </c>
      <c r="BO541" s="50">
        <f t="shared" si="529"/>
        <v>-76.348383076560253</v>
      </c>
      <c r="BP541" s="61">
        <f t="shared" si="530"/>
        <v>-167.75870429831065</v>
      </c>
    </row>
    <row r="542" spans="14:68" x14ac:dyDescent="0.25">
      <c r="N542" s="11">
        <v>24</v>
      </c>
      <c r="O542" s="51">
        <f t="shared" si="480"/>
        <v>1737800.8287493798</v>
      </c>
      <c r="P542" s="49" t="str">
        <f t="shared" si="481"/>
        <v>37.1583961085025</v>
      </c>
      <c r="Q542" s="18" t="str">
        <f t="shared" si="482"/>
        <v>1+8558.36142108372i</v>
      </c>
      <c r="R542" s="18">
        <f t="shared" si="494"/>
        <v>8558.3614795061185</v>
      </c>
      <c r="S542" s="18">
        <f t="shared" si="495"/>
        <v>1.5706794819987671</v>
      </c>
      <c r="T542" s="18" t="str">
        <f t="shared" si="483"/>
        <v>1+9.82703217060235i</v>
      </c>
      <c r="U542" s="18">
        <f t="shared" si="496"/>
        <v>9.8777811922543375</v>
      </c>
      <c r="V542" s="18">
        <f t="shared" si="497"/>
        <v>1.4693852839156913</v>
      </c>
      <c r="W542" s="32" t="str">
        <f t="shared" si="484"/>
        <v>1-86.0149661923379i</v>
      </c>
      <c r="X542" s="18">
        <f t="shared" si="498"/>
        <v>86.020778937818449</v>
      </c>
      <c r="Y542" s="18">
        <f t="shared" si="499"/>
        <v>-1.5591709667651916</v>
      </c>
      <c r="Z542" s="32" t="str">
        <f t="shared" si="485"/>
        <v>-74.4987930100506+20.7095603891582i</v>
      </c>
      <c r="AA542" s="18">
        <f t="shared" si="500"/>
        <v>77.323709504048992</v>
      </c>
      <c r="AB542" s="18">
        <f t="shared" si="501"/>
        <v>2.8704532681661608</v>
      </c>
      <c r="AC542" s="32" t="str">
        <f>IMDIV(IMSUM(COMPLEX(0,2*PI()*O542*Constants!$B$61*Constants!$B$62),COMPLEX(1,0)),IMSUM(COMPLEX(0,2*PI()*O542*Constants!$B$61*Constants!$B$62),COMPLEX(2,0)))</f>
        <v>0.998953737758642+0.0228481171215731i</v>
      </c>
      <c r="AD542" s="18">
        <f t="shared" si="502"/>
        <v>0.99921499520271562</v>
      </c>
      <c r="AE542" s="18">
        <f t="shared" si="503"/>
        <v>2.2868060176882862E-2</v>
      </c>
      <c r="AF542" s="66" t="str">
        <f t="shared" si="504"/>
        <v>-0.00967384904905495+0.0466814929686413i</v>
      </c>
      <c r="AG542" s="64">
        <f t="shared" si="505"/>
        <v>-26.434492620198085</v>
      </c>
      <c r="AH542" s="61">
        <f t="shared" si="506"/>
        <v>101.70773980403142</v>
      </c>
      <c r="AI542" s="50" t="str">
        <f t="shared" si="486"/>
        <v>107.538871525172</v>
      </c>
      <c r="AJ542" s="50" t="str">
        <f t="shared" si="487"/>
        <v>1+8136.01689449222i</v>
      </c>
      <c r="AK542" s="50">
        <f t="shared" si="507"/>
        <v>8136.0169559473525</v>
      </c>
      <c r="AL542" s="50">
        <f t="shared" si="508"/>
        <v>1.5706734165295995</v>
      </c>
      <c r="AM542" s="50" t="str">
        <f t="shared" si="488"/>
        <v>1+9.82703217060235i</v>
      </c>
      <c r="AN542" s="50">
        <f t="shared" si="509"/>
        <v>9.8777811922543375</v>
      </c>
      <c r="AO542" s="50">
        <f t="shared" si="510"/>
        <v>1.4693852839156913</v>
      </c>
      <c r="AP542" s="50" t="str">
        <f t="shared" si="489"/>
        <v>1-28.2544207737985i</v>
      </c>
      <c r="AQ542" s="50">
        <f t="shared" si="511"/>
        <v>28.272111581253643</v>
      </c>
      <c r="AR542" s="50">
        <f t="shared" si="512"/>
        <v>-1.5354184022567927</v>
      </c>
      <c r="AS542" s="59" t="str">
        <f t="shared" si="513"/>
        <v>-0.243113723150024-3.68321671203016i</v>
      </c>
      <c r="AT542" s="50">
        <f t="shared" si="514"/>
        <v>11.343425553347291</v>
      </c>
      <c r="AU542" s="61">
        <f t="shared" si="515"/>
        <v>-93.776376749572663</v>
      </c>
      <c r="AV542" s="32" t="str">
        <f t="shared" si="490"/>
        <v>-0.0000333333333333333</v>
      </c>
      <c r="AW542" s="32" t="str">
        <f t="shared" si="491"/>
        <v>0.524108382432125i</v>
      </c>
      <c r="AX542" s="32">
        <f t="shared" si="516"/>
        <v>0.52410838243212499</v>
      </c>
      <c r="AY542" s="32">
        <f t="shared" si="517"/>
        <v>1.5707963267948966</v>
      </c>
      <c r="AZ542" s="32" t="str">
        <f t="shared" si="492"/>
        <v>1+213.828940749218i</v>
      </c>
      <c r="BA542" s="32">
        <f t="shared" si="518"/>
        <v>213.83127905414725</v>
      </c>
      <c r="BB542" s="32">
        <f t="shared" si="519"/>
        <v>1.5661197254598034</v>
      </c>
      <c r="BC542" s="32" t="str">
        <f t="shared" si="493"/>
        <v>1+10263.7891559625i</v>
      </c>
      <c r="BD542" s="32">
        <f t="shared" si="520"/>
        <v>10263.789204677452</v>
      </c>
      <c r="BE542" s="32">
        <f t="shared" si="521"/>
        <v>1.5706988968904392</v>
      </c>
      <c r="BF542" s="59" t="str">
        <f t="shared" si="522"/>
        <v>-0.0000139791097512868+0.00305273830745672i</v>
      </c>
      <c r="BG542" s="50">
        <f t="shared" si="523"/>
        <v>-50.306117403485125</v>
      </c>
      <c r="BH542" s="61">
        <f t="shared" si="524"/>
        <v>90.262367196642316</v>
      </c>
      <c r="BI542" s="59" t="str">
        <f t="shared" si="525"/>
        <v>-0.000142371150037069-0.0000301842952861664i</v>
      </c>
      <c r="BJ542" s="64">
        <f t="shared" si="526"/>
        <v>-76.740610023683203</v>
      </c>
      <c r="BK542" s="61">
        <f t="shared" si="527"/>
        <v>-168.02989299932628</v>
      </c>
      <c r="BL542" s="59" t="str">
        <f t="shared" si="478"/>
        <v>0.0112472952648972-0.000690674485073263i</v>
      </c>
      <c r="BM542" s="64">
        <f t="shared" si="528"/>
        <v>-38.962691850137851</v>
      </c>
      <c r="BN542" s="61">
        <f t="shared" si="479"/>
        <v>-3.5140095529303461</v>
      </c>
      <c r="BO542" s="50">
        <f t="shared" si="529"/>
        <v>-76.740610023683203</v>
      </c>
      <c r="BP542" s="61">
        <f t="shared" si="530"/>
        <v>-168.02989299932628</v>
      </c>
    </row>
    <row r="543" spans="14:68" x14ac:dyDescent="0.25">
      <c r="N543" s="11">
        <v>25</v>
      </c>
      <c r="O543" s="51">
        <f t="shared" si="480"/>
        <v>1778279.4100389241</v>
      </c>
      <c r="P543" s="49" t="str">
        <f t="shared" si="481"/>
        <v>37.1583961085025</v>
      </c>
      <c r="Q543" s="18" t="str">
        <f t="shared" si="482"/>
        <v>1+8757.71126760088i</v>
      </c>
      <c r="R543" s="18">
        <f t="shared" si="494"/>
        <v>8757.7113246934223</v>
      </c>
      <c r="S543" s="18">
        <f t="shared" si="495"/>
        <v>1.5706821417110204</v>
      </c>
      <c r="T543" s="18" t="str">
        <f t="shared" si="483"/>
        <v>1+10.0559331550949i</v>
      </c>
      <c r="U543" s="18">
        <f t="shared" si="496"/>
        <v>10.105532723203504</v>
      </c>
      <c r="V543" s="18">
        <f t="shared" si="497"/>
        <v>1.4716784178797855</v>
      </c>
      <c r="W543" s="32" t="str">
        <f t="shared" si="484"/>
        <v>1-88.0185121358849i</v>
      </c>
      <c r="X543" s="18">
        <f t="shared" si="498"/>
        <v>88.024192575762484</v>
      </c>
      <c r="Y543" s="18">
        <f t="shared" si="499"/>
        <v>-1.5594355692327231</v>
      </c>
      <c r="Z543" s="32" t="str">
        <f t="shared" si="485"/>
        <v>-78.056941504209+21.1919480194406i</v>
      </c>
      <c r="AA543" s="18">
        <f t="shared" si="500"/>
        <v>80.882536915271004</v>
      </c>
      <c r="AB543" s="18">
        <f t="shared" si="501"/>
        <v>2.876489371848086</v>
      </c>
      <c r="AC543" s="32" t="str">
        <f>IMDIV(IMSUM(COMPLEX(0,2*PI()*O543*Constants!$B$61*Constants!$B$62),COMPLEX(1,0)),IMSUM(COMPLEX(0,2*PI()*O543*Constants!$B$61*Constants!$B$62),COMPLEX(2,0)))</f>
        <v>0.999000733206406+0.0223301335121856i</v>
      </c>
      <c r="AD543" s="18">
        <f t="shared" si="502"/>
        <v>0.99925026885641044</v>
      </c>
      <c r="AE543" s="18">
        <f t="shared" si="503"/>
        <v>2.2348748032010854E-2</v>
      </c>
      <c r="AF543" s="66" t="str">
        <f t="shared" si="504"/>
        <v>-0.00925483465398257+0.0457003458201617i</v>
      </c>
      <c r="AG543" s="64">
        <f t="shared" si="505"/>
        <v>-26.62705787483517</v>
      </c>
      <c r="AH543" s="61">
        <f t="shared" si="506"/>
        <v>101.44821604727825</v>
      </c>
      <c r="AI543" s="50" t="str">
        <f t="shared" si="486"/>
        <v>107.538871525172</v>
      </c>
      <c r="AJ543" s="50" t="str">
        <f t="shared" si="487"/>
        <v>1+8325.52907321167i</v>
      </c>
      <c r="AK543" s="50">
        <f t="shared" si="507"/>
        <v>8325.5291332679135</v>
      </c>
      <c r="AL543" s="50">
        <f t="shared" si="508"/>
        <v>1.5706762143087833</v>
      </c>
      <c r="AM543" s="50" t="str">
        <f t="shared" si="488"/>
        <v>1+10.0559331550949i</v>
      </c>
      <c r="AN543" s="50">
        <f t="shared" si="509"/>
        <v>10.105532723203504</v>
      </c>
      <c r="AO543" s="50">
        <f t="shared" si="510"/>
        <v>1.4716784178797855</v>
      </c>
      <c r="AP543" s="50" t="str">
        <f t="shared" si="489"/>
        <v>1-28.9125507787796i</v>
      </c>
      <c r="AQ543" s="50">
        <f t="shared" si="511"/>
        <v>28.929839137739926</v>
      </c>
      <c r="AR543" s="50">
        <f t="shared" si="512"/>
        <v>-1.5362230531045287</v>
      </c>
      <c r="AS543" s="59" t="str">
        <f t="shared" si="513"/>
        <v>-0.243113796433581-3.76839972607577i</v>
      </c>
      <c r="AT543" s="50">
        <f t="shared" si="514"/>
        <v>11.541177229617208</v>
      </c>
      <c r="AU543" s="61">
        <f t="shared" si="515"/>
        <v>-93.691253250068087</v>
      </c>
      <c r="AV543" s="32" t="str">
        <f t="shared" si="490"/>
        <v>-0.0000333333333333333</v>
      </c>
      <c r="AW543" s="32" t="str">
        <f t="shared" si="491"/>
        <v>0.536316434938394i</v>
      </c>
      <c r="AX543" s="32">
        <f t="shared" si="516"/>
        <v>0.53631643493839398</v>
      </c>
      <c r="AY543" s="32">
        <f t="shared" si="517"/>
        <v>1.5707963267948966</v>
      </c>
      <c r="AZ543" s="32" t="str">
        <f t="shared" si="492"/>
        <v>1+218.80965661549i</v>
      </c>
      <c r="BA543" s="32">
        <f t="shared" si="518"/>
        <v>218.81194169466312</v>
      </c>
      <c r="BB543" s="32">
        <f t="shared" si="519"/>
        <v>1.566226176403152</v>
      </c>
      <c r="BC543" s="32" t="str">
        <f t="shared" si="493"/>
        <v>1+10502.8635175435i</v>
      </c>
      <c r="BD543" s="32">
        <f t="shared" si="520"/>
        <v>10502.863565149562</v>
      </c>
      <c r="BE543" s="32">
        <f t="shared" si="521"/>
        <v>1.5707011146658132</v>
      </c>
      <c r="BF543" s="59" t="str">
        <f t="shared" si="522"/>
        <v>-0.0000133499593124506+0.00298325237521647i</v>
      </c>
      <c r="BG543" s="50">
        <f t="shared" si="523"/>
        <v>-50.506113130439104</v>
      </c>
      <c r="BH543" s="61">
        <f t="shared" si="524"/>
        <v>90.256395076032078</v>
      </c>
      <c r="BI543" s="59" t="str">
        <f t="shared" si="525"/>
        <v>-0.000136212113550137-0.0000282196052209933i</v>
      </c>
      <c r="BJ543" s="64">
        <f t="shared" si="526"/>
        <v>-77.133171005274306</v>
      </c>
      <c r="BK543" s="61">
        <f t="shared" si="527"/>
        <v>-168.29538887668963</v>
      </c>
      <c r="BL543" s="59" t="str">
        <f t="shared" si="478"/>
        <v>0.0112453329928713-0.000674961827642212i</v>
      </c>
      <c r="BM543" s="64">
        <f t="shared" si="528"/>
        <v>-38.964935900821914</v>
      </c>
      <c r="BN543" s="61">
        <f t="shared" si="479"/>
        <v>-3.434858174036016</v>
      </c>
      <c r="BO543" s="50">
        <f t="shared" si="529"/>
        <v>-77.133171005274306</v>
      </c>
      <c r="BP543" s="61">
        <f t="shared" si="530"/>
        <v>-168.29538887668963</v>
      </c>
    </row>
    <row r="544" spans="14:68" x14ac:dyDescent="0.25">
      <c r="N544" s="11">
        <v>26</v>
      </c>
      <c r="O544" s="51">
        <f t="shared" si="480"/>
        <v>1819700.8586099846</v>
      </c>
      <c r="P544" s="49" t="str">
        <f t="shared" si="481"/>
        <v>37.1583961085025</v>
      </c>
      <c r="Q544" s="18" t="str">
        <f t="shared" si="482"/>
        <v>1+8961.70456855419i</v>
      </c>
      <c r="R544" s="18">
        <f t="shared" si="494"/>
        <v>8961.7046243471486</v>
      </c>
      <c r="S544" s="18">
        <f t="shared" si="495"/>
        <v>1.5706847408808331</v>
      </c>
      <c r="T544" s="18" t="str">
        <f t="shared" si="483"/>
        <v>1+10.2901659284523i</v>
      </c>
      <c r="U544" s="18">
        <f t="shared" si="496"/>
        <v>10.33864182739109</v>
      </c>
      <c r="V544" s="18">
        <f t="shared" si="497"/>
        <v>1.473920364777628</v>
      </c>
      <c r="W544" s="32" t="str">
        <f t="shared" si="484"/>
        <v>1-90.0687266596297i</v>
      </c>
      <c r="X544" s="18">
        <f t="shared" si="498"/>
        <v>90.07427780497099</v>
      </c>
      <c r="Y544" s="18">
        <f t="shared" si="499"/>
        <v>-1.5596941501500277</v>
      </c>
      <c r="Z544" s="32" t="str">
        <f t="shared" si="485"/>
        <v>-81.7827803706473+21.6855719010716i</v>
      </c>
      <c r="AA544" s="18">
        <f t="shared" si="500"/>
        <v>84.609025486824279</v>
      </c>
      <c r="AB544" s="18">
        <f t="shared" si="501"/>
        <v>2.8823968581600834</v>
      </c>
      <c r="AC544" s="32" t="str">
        <f>IMDIV(IMSUM(COMPLEX(0,2*PI()*O544*Constants!$B$61*Constants!$B$62),COMPLEX(1,0)),IMSUM(COMPLEX(0,2*PI()*O544*Constants!$B$61*Constants!$B$62),COMPLEX(2,0)))</f>
        <v>0.999045621775458+0.0218238006423219i</v>
      </c>
      <c r="AD544" s="18">
        <f t="shared" si="502"/>
        <v>0.9992839599749348</v>
      </c>
      <c r="AE544" s="18">
        <f t="shared" si="503"/>
        <v>2.1841175020866483E-2</v>
      </c>
      <c r="AF544" s="66" t="str">
        <f t="shared" si="504"/>
        <v>-0.00885329353081266+0.0447363727485244i</v>
      </c>
      <c r="AG544" s="64">
        <f t="shared" si="505"/>
        <v>-26.81994327087104</v>
      </c>
      <c r="AH544" s="61">
        <f t="shared" si="506"/>
        <v>101.19414980119029</v>
      </c>
      <c r="AI544" s="50" t="str">
        <f t="shared" si="486"/>
        <v>107.538871525172</v>
      </c>
      <c r="AJ544" s="50" t="str">
        <f t="shared" si="487"/>
        <v>1+8519.4555576472i</v>
      </c>
      <c r="AK544" s="50">
        <f t="shared" si="507"/>
        <v>8519.4556163363959</v>
      </c>
      <c r="AL544" s="50">
        <f t="shared" si="508"/>
        <v>1.5706789484027399</v>
      </c>
      <c r="AM544" s="50" t="str">
        <f t="shared" si="488"/>
        <v>1+10.2901659284523i</v>
      </c>
      <c r="AN544" s="50">
        <f t="shared" si="509"/>
        <v>10.33864182739109</v>
      </c>
      <c r="AO544" s="50">
        <f t="shared" si="510"/>
        <v>1.473920364777628</v>
      </c>
      <c r="AP544" s="50" t="str">
        <f t="shared" si="489"/>
        <v>1-29.5860106008867i</v>
      </c>
      <c r="AQ544" s="50">
        <f t="shared" si="511"/>
        <v>29.602905655961884</v>
      </c>
      <c r="AR544" s="50">
        <f t="shared" si="512"/>
        <v>-1.5370094311428633</v>
      </c>
      <c r="AS544" s="59" t="str">
        <f t="shared" si="513"/>
        <v>-0.243113866418838-3.85558079553604i</v>
      </c>
      <c r="AT544" s="50">
        <f t="shared" si="514"/>
        <v>11.739029220843513</v>
      </c>
      <c r="AU544" s="61">
        <f t="shared" si="515"/>
        <v>-93.608011949672132</v>
      </c>
      <c r="AV544" s="32" t="str">
        <f t="shared" si="490"/>
        <v>-0.0000333333333333333</v>
      </c>
      <c r="AW544" s="32" t="str">
        <f t="shared" si="491"/>
        <v>0.548808849517456i</v>
      </c>
      <c r="AX544" s="32">
        <f t="shared" si="516"/>
        <v>0.54880884951745601</v>
      </c>
      <c r="AY544" s="32">
        <f t="shared" si="517"/>
        <v>1.5707963267948966</v>
      </c>
      <c r="AZ544" s="32" t="str">
        <f t="shared" si="492"/>
        <v>1+223.906388257989i</v>
      </c>
      <c r="BA544" s="32">
        <f t="shared" si="518"/>
        <v>223.90862132293461</v>
      </c>
      <c r="BB544" s="32">
        <f t="shared" si="519"/>
        <v>1.5663302043272831</v>
      </c>
      <c r="BC544" s="32" t="str">
        <f t="shared" si="493"/>
        <v>1+10747.5066363835i</v>
      </c>
      <c r="BD544" s="32">
        <f t="shared" si="520"/>
        <v>10747.506682905918</v>
      </c>
      <c r="BE544" s="32">
        <f t="shared" si="521"/>
        <v>1.5707032819584572</v>
      </c>
      <c r="BF544" s="59" t="str">
        <f t="shared" si="522"/>
        <v>-0.0000127491241516458+0.00291534794398763i</v>
      </c>
      <c r="BG544" s="50">
        <f t="shared" si="523"/>
        <v>-50.706109049707813</v>
      </c>
      <c r="BH544" s="61">
        <f t="shared" si="524"/>
        <v>90.250558891749336</v>
      </c>
      <c r="BI544" s="59" t="str">
        <f t="shared" si="525"/>
        <v>-0.0001303092205755-0.0000263807806628389i</v>
      </c>
      <c r="BJ544" s="64">
        <f t="shared" si="526"/>
        <v>-77.526052320578827</v>
      </c>
      <c r="BK544" s="61">
        <f t="shared" si="527"/>
        <v>-168.5552913070604</v>
      </c>
      <c r="BL544" s="59" t="str">
        <f t="shared" si="478"/>
        <v>0.0112434590340101-0.000659606232380052i</v>
      </c>
      <c r="BM544" s="64">
        <f t="shared" si="528"/>
        <v>-38.967079828864335</v>
      </c>
      <c r="BN544" s="61">
        <f t="shared" si="479"/>
        <v>-3.3574530579228079</v>
      </c>
      <c r="BO544" s="50">
        <f t="shared" si="529"/>
        <v>-77.526052320578827</v>
      </c>
      <c r="BP544" s="61">
        <f t="shared" si="530"/>
        <v>-168.5552913070604</v>
      </c>
    </row>
    <row r="545" spans="14:68" x14ac:dyDescent="0.25">
      <c r="N545" s="11">
        <v>27</v>
      </c>
      <c r="O545" s="51">
        <f t="shared" si="480"/>
        <v>1862087.1366628683</v>
      </c>
      <c r="P545" s="49" t="str">
        <f t="shared" si="481"/>
        <v>37.1583961085025</v>
      </c>
      <c r="Q545" s="18" t="str">
        <f t="shared" si="482"/>
        <v>1+9170.44948389192i</v>
      </c>
      <c r="R545" s="18">
        <f t="shared" si="494"/>
        <v>9170.4495384148722</v>
      </c>
      <c r="S545" s="18">
        <f t="shared" si="495"/>
        <v>1.570687280886319</v>
      </c>
      <c r="T545" s="18" t="str">
        <f t="shared" si="483"/>
        <v>1+10.5298546839914i</v>
      </c>
      <c r="U545" s="18">
        <f t="shared" si="496"/>
        <v>10.577232136337731</v>
      </c>
      <c r="V545" s="18">
        <f t="shared" si="497"/>
        <v>1.4761122231195696</v>
      </c>
      <c r="W545" s="32" t="str">
        <f t="shared" si="484"/>
        <v>1-92.1666968144497i</v>
      </c>
      <c r="X545" s="18">
        <f t="shared" si="498"/>
        <v>92.172121607819648</v>
      </c>
      <c r="Y545" s="18">
        <f t="shared" si="499"/>
        <v>-1.5599468464817325</v>
      </c>
      <c r="Z545" s="32" t="str">
        <f t="shared" si="485"/>
        <v>-85.6842126131323+22.190693759967i</v>
      </c>
      <c r="AA545" s="18">
        <f t="shared" si="500"/>
        <v>88.511079423319075</v>
      </c>
      <c r="AB545" s="18">
        <f t="shared" si="501"/>
        <v>2.8881780983322218</v>
      </c>
      <c r="AC545" s="32" t="str">
        <f>IMDIV(IMSUM(COMPLEX(0,2*PI()*O545*Constants!$B$61*Constants!$B$62),COMPLEX(1,0)),IMSUM(COMPLEX(0,2*PI()*O545*Constants!$B$61*Constants!$B$62),COMPLEX(2,0)))</f>
        <v>0.999088497565776+0.0213288626144142i</v>
      </c>
      <c r="AD545" s="18">
        <f t="shared" si="502"/>
        <v>0.99931613934163199</v>
      </c>
      <c r="AE545" s="18">
        <f t="shared" si="503"/>
        <v>2.1345079376306302E-2</v>
      </c>
      <c r="AF545" s="66" t="str">
        <f t="shared" si="504"/>
        <v>-0.0084685542268137+0.0437894984361835i</v>
      </c>
      <c r="AG545" s="64">
        <f t="shared" si="505"/>
        <v>-27.013135622707441</v>
      </c>
      <c r="AH545" s="61">
        <f t="shared" si="506"/>
        <v>100.94544521969156</v>
      </c>
      <c r="AI545" s="50" t="str">
        <f t="shared" si="486"/>
        <v>107.538871525172</v>
      </c>
      <c r="AJ545" s="50" t="str">
        <f t="shared" si="487"/>
        <v>1+8717.8991701877i</v>
      </c>
      <c r="AK545" s="50">
        <f t="shared" si="507"/>
        <v>8717.8992275409673</v>
      </c>
      <c r="AL545" s="50">
        <f t="shared" si="508"/>
        <v>1.5706816202611213</v>
      </c>
      <c r="AM545" s="50" t="str">
        <f t="shared" si="488"/>
        <v>1+10.5298546839914i</v>
      </c>
      <c r="AN545" s="50">
        <f t="shared" si="509"/>
        <v>10.577232136337731</v>
      </c>
      <c r="AO545" s="50">
        <f t="shared" si="510"/>
        <v>1.4761122231195696</v>
      </c>
      <c r="AP545" s="50" t="str">
        <f t="shared" si="489"/>
        <v>1-30.2751573174314i</v>
      </c>
      <c r="AQ545" s="50">
        <f t="shared" si="511"/>
        <v>30.29166800615674</v>
      </c>
      <c r="AR545" s="50">
        <f t="shared" si="512"/>
        <v>-1.5377779494273087</v>
      </c>
      <c r="AS545" s="59" t="str">
        <f t="shared" si="513"/>
        <v>-0.243113933254236-3.94480614496799i</v>
      </c>
      <c r="AT545" s="50">
        <f t="shared" si="514"/>
        <v>11.936977088516239</v>
      </c>
      <c r="AU545" s="61">
        <f t="shared" si="515"/>
        <v>-93.526613657774391</v>
      </c>
      <c r="AV545" s="32" t="str">
        <f t="shared" si="490"/>
        <v>-0.0000333333333333333</v>
      </c>
      <c r="AW545" s="32" t="str">
        <f t="shared" si="491"/>
        <v>0.561592249812876i</v>
      </c>
      <c r="AX545" s="32">
        <f t="shared" si="516"/>
        <v>0.56159224981287603</v>
      </c>
      <c r="AY545" s="32">
        <f t="shared" si="517"/>
        <v>1.5707963267948966</v>
      </c>
      <c r="AZ545" s="32" t="str">
        <f t="shared" si="492"/>
        <v>1+229.121838031294i</v>
      </c>
      <c r="BA545" s="32">
        <f t="shared" si="518"/>
        <v>229.12402026596541</v>
      </c>
      <c r="BB545" s="32">
        <f t="shared" si="519"/>
        <v>1.5664318643801676</v>
      </c>
      <c r="BC545" s="32" t="str">
        <f t="shared" si="493"/>
        <v>1+10997.8482255021i</v>
      </c>
      <c r="BD545" s="32">
        <f t="shared" si="520"/>
        <v>10997.848270965538</v>
      </c>
      <c r="BE545" s="32">
        <f t="shared" si="521"/>
        <v>1.5707053999174985</v>
      </c>
      <c r="BF545" s="59" t="str">
        <f t="shared" si="522"/>
        <v>-0.0000121753299731642+0.00284898902722072i</v>
      </c>
      <c r="BG545" s="50">
        <f t="shared" si="523"/>
        <v>-50.906105152636172</v>
      </c>
      <c r="BH545" s="61">
        <f t="shared" si="524"/>
        <v>90.244855549888214</v>
      </c>
      <c r="BI545" s="59" t="str">
        <f t="shared" si="525"/>
        <v>-0.000124652693110079-0.0000246599696614358i</v>
      </c>
      <c r="BJ545" s="64">
        <f t="shared" si="526"/>
        <v>-77.919240775343582</v>
      </c>
      <c r="BK545" s="61">
        <f t="shared" si="527"/>
        <v>-168.80969923042022</v>
      </c>
      <c r="BL545" s="59" t="str">
        <f t="shared" si="478"/>
        <v>0.0112416694138851-0.000644599611710638i</v>
      </c>
      <c r="BM545" s="64">
        <f t="shared" si="528"/>
        <v>-38.96912806411995</v>
      </c>
      <c r="BN545" s="61">
        <f t="shared" si="479"/>
        <v>-3.2817581078861684</v>
      </c>
      <c r="BO545" s="50">
        <f t="shared" si="529"/>
        <v>-77.919240775343582</v>
      </c>
      <c r="BP545" s="61">
        <f t="shared" si="530"/>
        <v>-168.80969923042022</v>
      </c>
    </row>
    <row r="546" spans="14:68" x14ac:dyDescent="0.25">
      <c r="N546" s="11">
        <v>28</v>
      </c>
      <c r="O546" s="51">
        <f t="shared" si="480"/>
        <v>1905460.7179632513</v>
      </c>
      <c r="P546" s="49" t="str">
        <f t="shared" si="481"/>
        <v>37.1583961085025</v>
      </c>
      <c r="Q546" s="18" t="str">
        <f t="shared" si="482"/>
        <v>1+9384.05669293133i</v>
      </c>
      <c r="R546" s="18">
        <f t="shared" si="494"/>
        <v>9384.0567462131894</v>
      </c>
      <c r="S546" s="18">
        <f t="shared" si="495"/>
        <v>1.5706897630742227</v>
      </c>
      <c r="T546" s="18" t="str">
        <f t="shared" si="483"/>
        <v>1+10.7751265078632i</v>
      </c>
      <c r="U546" s="18">
        <f t="shared" si="496"/>
        <v>10.821430185537224</v>
      </c>
      <c r="V546" s="18">
        <f t="shared" si="497"/>
        <v>1.478255070769785</v>
      </c>
      <c r="W546" s="32" t="str">
        <f t="shared" si="484"/>
        <v>1-94.3135349718921i</v>
      </c>
      <c r="X546" s="18">
        <f t="shared" si="498"/>
        <v>94.31883628891056</v>
      </c>
      <c r="Y546" s="18">
        <f t="shared" si="499"/>
        <v>-1.5601937920816156</v>
      </c>
      <c r="Z546" s="32" t="str">
        <f t="shared" si="485"/>
        <v>-89.7695136925263+22.7075814184227i</v>
      </c>
      <c r="AA546" s="18">
        <f t="shared" si="500"/>
        <v>92.596975341892048</v>
      </c>
      <c r="AB546" s="18">
        <f t="shared" si="501"/>
        <v>2.8938354436799316</v>
      </c>
      <c r="AC546" s="32" t="str">
        <f>IMDIV(IMSUM(COMPLEX(0,2*PI()*O546*Constants!$B$61*Constants!$B$62),COMPLEX(1,0)),IMSUM(COMPLEX(0,2*PI()*O546*Constants!$B$61*Constants!$B$62),COMPLEX(2,0)))</f>
        <v>0.999129450505691+0.0208450687389752i</v>
      </c>
      <c r="AD546" s="18">
        <f t="shared" si="502"/>
        <v>0.99934687459286964</v>
      </c>
      <c r="AE546" s="18">
        <f t="shared" si="503"/>
        <v>2.0860204927745825E-2</v>
      </c>
      <c r="AF546" s="66" t="str">
        <f t="shared" si="504"/>
        <v>-0.00809996624395025+0.0428596311473266i</v>
      </c>
      <c r="AG546" s="64">
        <f t="shared" si="505"/>
        <v>-27.206622236872562</v>
      </c>
      <c r="AH546" s="61">
        <f t="shared" si="506"/>
        <v>100.70200691548699</v>
      </c>
      <c r="AI546" s="50" t="str">
        <f t="shared" si="486"/>
        <v>107.538871525172</v>
      </c>
      <c r="AJ546" s="50" t="str">
        <f t="shared" si="487"/>
        <v>1+8920.96512826334i</v>
      </c>
      <c r="AK546" s="50">
        <f t="shared" si="507"/>
        <v>8920.9651843110878</v>
      </c>
      <c r="AL546" s="50">
        <f t="shared" si="508"/>
        <v>1.5706842313005824</v>
      </c>
      <c r="AM546" s="50" t="str">
        <f t="shared" si="488"/>
        <v>1+10.7751265078632i</v>
      </c>
      <c r="AN546" s="50">
        <f t="shared" si="509"/>
        <v>10.821430185537224</v>
      </c>
      <c r="AO546" s="50">
        <f t="shared" si="510"/>
        <v>1.478255070769785</v>
      </c>
      <c r="AP546" s="50" t="str">
        <f t="shared" si="489"/>
        <v>1-30.9803563231252i</v>
      </c>
      <c r="AQ546" s="50">
        <f t="shared" si="511"/>
        <v>30.996491380603121</v>
      </c>
      <c r="AR546" s="50">
        <f t="shared" si="512"/>
        <v>-1.5385290118031367</v>
      </c>
      <c r="AS546" s="59" t="str">
        <f t="shared" si="513"/>
        <v>-0.243113997081548-4.03612308283305i</v>
      </c>
      <c r="AT546" s="50">
        <f t="shared" si="514"/>
        <v>12.13501658725761</v>
      </c>
      <c r="AU546" s="61">
        <f t="shared" si="515"/>
        <v>-93.447019837104818</v>
      </c>
      <c r="AV546" s="32" t="str">
        <f t="shared" si="490"/>
        <v>-0.0000333333333333333</v>
      </c>
      <c r="AW546" s="32" t="str">
        <f t="shared" si="491"/>
        <v>0.574673413752699i</v>
      </c>
      <c r="AX546" s="32">
        <f t="shared" si="516"/>
        <v>0.57467341375269898</v>
      </c>
      <c r="AY546" s="32">
        <f t="shared" si="517"/>
        <v>1.5707963267948966</v>
      </c>
      <c r="AZ546" s="32" t="str">
        <f t="shared" si="492"/>
        <v>1+234.458771235911i</v>
      </c>
      <c r="BA546" s="32">
        <f t="shared" si="518"/>
        <v>234.46090379731382</v>
      </c>
      <c r="BB546" s="32">
        <f t="shared" si="519"/>
        <v>1.5665312104549012</v>
      </c>
      <c r="BC546" s="32" t="str">
        <f t="shared" si="493"/>
        <v>1+11254.0210193238i</v>
      </c>
      <c r="BD546" s="32">
        <f t="shared" si="520"/>
        <v>11254.021063752365</v>
      </c>
      <c r="BE546" s="32">
        <f t="shared" si="521"/>
        <v>1.5707074696659069</v>
      </c>
      <c r="BF546" s="59" t="str">
        <f t="shared" si="522"/>
        <v>-0.0000116273598251014+0.0027841404566654i</v>
      </c>
      <c r="BG546" s="50">
        <f t="shared" si="523"/>
        <v>-51.106101430958276</v>
      </c>
      <c r="BH546" s="61">
        <f t="shared" si="524"/>
        <v>90.239282026943243</v>
      </c>
      <c r="BI546" s="59" t="str">
        <f t="shared" si="525"/>
        <v>-0.000119233051812939-0.0000230497880707271i</v>
      </c>
      <c r="BJ546" s="64">
        <f t="shared" si="526"/>
        <v>-78.312723667830838</v>
      </c>
      <c r="BK546" s="61">
        <f t="shared" si="527"/>
        <v>-169.05871105756975</v>
      </c>
      <c r="BL546" s="59" t="str">
        <f t="shared" si="478"/>
        <v>0.0112399603369192-0.000629934059473874i</v>
      </c>
      <c r="BM546" s="64">
        <f t="shared" si="528"/>
        <v>-38.971084843700638</v>
      </c>
      <c r="BN546" s="61">
        <f t="shared" si="479"/>
        <v>-3.2077378101615488</v>
      </c>
      <c r="BO546" s="50">
        <f t="shared" si="529"/>
        <v>-78.312723667830838</v>
      </c>
      <c r="BP546" s="61">
        <f t="shared" si="530"/>
        <v>-169.05871105756975</v>
      </c>
    </row>
    <row r="547" spans="14:68" x14ac:dyDescent="0.25">
      <c r="N547" s="11">
        <v>29</v>
      </c>
      <c r="O547" s="51">
        <f t="shared" si="480"/>
        <v>1949844.5997580495</v>
      </c>
      <c r="P547" s="49" t="str">
        <f t="shared" si="481"/>
        <v>37.1583961085025</v>
      </c>
      <c r="Q547" s="18" t="str">
        <f t="shared" si="482"/>
        <v>1+9602.63945304189i</v>
      </c>
      <c r="R547" s="18">
        <f t="shared" si="494"/>
        <v>9602.6395051109048</v>
      </c>
      <c r="S547" s="18">
        <f t="shared" si="495"/>
        <v>1.5706921887606327</v>
      </c>
      <c r="T547" s="18" t="str">
        <f t="shared" si="483"/>
        <v>1+11.0261114464349i</v>
      </c>
      <c r="U547" s="18">
        <f t="shared" si="496"/>
        <v>11.071365481692071</v>
      </c>
      <c r="V547" s="18">
        <f t="shared" si="497"/>
        <v>1.4803499651348904</v>
      </c>
      <c r="W547" s="32" t="str">
        <f t="shared" si="484"/>
        <v>1-96.5103794139624i</v>
      </c>
      <c r="X547" s="18">
        <f t="shared" si="498"/>
        <v>96.515560064825692</v>
      </c>
      <c r="Y547" s="18">
        <f t="shared" si="499"/>
        <v>-1.560435117762959</v>
      </c>
      <c r="Z547" s="32" t="str">
        <f t="shared" si="485"/>
        <v>-94.0473490801397+23.2365089371164i</v>
      </c>
      <c r="AA547" s="18">
        <f t="shared" si="500"/>
        <v>96.875379826797797</v>
      </c>
      <c r="AB547" s="18">
        <f t="shared" si="501"/>
        <v>2.8993712240983145</v>
      </c>
      <c r="AC547" s="32" t="str">
        <f>IMDIV(IMSUM(COMPLEX(0,2*PI()*O547*Constants!$B$61*Constants!$B$62),COMPLEX(1,0)),IMSUM(COMPLEX(0,2*PI()*O547*Constants!$B$61*Constants!$B$62),COMPLEX(2,0)))</f>
        <v>0.999168566534079+0.0203721734567597i</v>
      </c>
      <c r="AD547" s="18">
        <f t="shared" si="502"/>
        <v>0.99937623035627521</v>
      </c>
      <c r="AE547" s="18">
        <f t="shared" si="503"/>
        <v>2.0386300997748175E-2</v>
      </c>
      <c r="AF547" s="66" t="str">
        <f t="shared" si="504"/>
        <v>-0.00774689980830922+0.0419466640204547i</v>
      </c>
      <c r="AG547" s="64">
        <f t="shared" si="505"/>
        <v>-27.400390898013608</v>
      </c>
      <c r="AH547" s="61">
        <f t="shared" si="506"/>
        <v>100.46374004714247</v>
      </c>
      <c r="AI547" s="50" t="str">
        <f t="shared" si="486"/>
        <v>107.538871525172</v>
      </c>
      <c r="AJ547" s="50" t="str">
        <f t="shared" si="487"/>
        <v>1+9128.7611001328i</v>
      </c>
      <c r="AK547" s="50">
        <f t="shared" si="507"/>
        <v>9128.7611549047451</v>
      </c>
      <c r="AL547" s="50">
        <f t="shared" si="508"/>
        <v>1.5706867829055309</v>
      </c>
      <c r="AM547" s="50" t="str">
        <f t="shared" si="488"/>
        <v>1+11.0261114464349i</v>
      </c>
      <c r="AN547" s="50">
        <f t="shared" si="509"/>
        <v>11.071365481692071</v>
      </c>
      <c r="AO547" s="50">
        <f t="shared" si="510"/>
        <v>1.4803499651348904</v>
      </c>
      <c r="AP547" s="50" t="str">
        <f t="shared" si="489"/>
        <v>1-31.7019815238146i</v>
      </c>
      <c r="AQ547" s="50">
        <f t="shared" si="511"/>
        <v>31.717749487255272</v>
      </c>
      <c r="AR547" s="50">
        <f t="shared" si="512"/>
        <v>-1.5392630131022598</v>
      </c>
      <c r="AS547" s="59" t="str">
        <f t="shared" si="513"/>
        <v>-0.243114058036157-4.1295800265803i</v>
      </c>
      <c r="AT547" s="50">
        <f t="shared" si="514"/>
        <v>12.33314365670129</v>
      </c>
      <c r="AU547" s="61">
        <f t="shared" si="515"/>
        <v>-93.369192604249918</v>
      </c>
      <c r="AV547" s="32" t="str">
        <f t="shared" si="490"/>
        <v>-0.0000333333333333333</v>
      </c>
      <c r="AW547" s="32" t="str">
        <f t="shared" si="491"/>
        <v>0.588059277143195i</v>
      </c>
      <c r="AX547" s="32">
        <f t="shared" si="516"/>
        <v>0.58805927714319495</v>
      </c>
      <c r="AY547" s="32">
        <f t="shared" si="517"/>
        <v>1.5707963267948966</v>
      </c>
      <c r="AZ547" s="32" t="str">
        <f t="shared" si="492"/>
        <v>1+239.920017584463i</v>
      </c>
      <c r="BA547" s="32">
        <f t="shared" si="518"/>
        <v>239.92210160326837</v>
      </c>
      <c r="BB547" s="32">
        <f t="shared" si="519"/>
        <v>1.5666282952182393</v>
      </c>
      <c r="BC547" s="32" t="str">
        <f t="shared" si="493"/>
        <v>1+11516.1608440542i</v>
      </c>
      <c r="BD547" s="32">
        <f t="shared" si="520"/>
        <v>11516.160887471447</v>
      </c>
      <c r="BE547" s="32">
        <f t="shared" si="521"/>
        <v>1.5707094923010902</v>
      </c>
      <c r="BF547" s="59" t="str">
        <f t="shared" si="522"/>
        <v>-0.0000111040515192474+0.00272076786380049i</v>
      </c>
      <c r="BG547" s="50">
        <f t="shared" si="523"/>
        <v>-51.306097876780626</v>
      </c>
      <c r="BH547" s="61">
        <f t="shared" si="524"/>
        <v>90.23383536820846</v>
      </c>
      <c r="BI547" s="59" t="str">
        <f t="shared" si="525"/>
        <v>-0.000114041113485904-0.0000215432939608736i</v>
      </c>
      <c r="BJ547" s="64">
        <f t="shared" si="526"/>
        <v>-78.706488774794209</v>
      </c>
      <c r="BK547" s="61">
        <f t="shared" si="527"/>
        <v>-169.30242458464912</v>
      </c>
      <c r="BL547" s="59" t="str">
        <f t="shared" si="478"/>
        <v>0.0112383281783375-0.0006156018469749i</v>
      </c>
      <c r="BM547" s="64">
        <f t="shared" si="528"/>
        <v>-38.972954220079373</v>
      </c>
      <c r="BN547" s="61">
        <f t="shared" si="479"/>
        <v>-3.1353572360414677</v>
      </c>
      <c r="BO547" s="50">
        <f t="shared" si="529"/>
        <v>-78.706488774794209</v>
      </c>
      <c r="BP547" s="61">
        <f t="shared" si="530"/>
        <v>-169.30242458464912</v>
      </c>
    </row>
    <row r="548" spans="14:68" x14ac:dyDescent="0.25">
      <c r="N548" s="11">
        <v>30</v>
      </c>
      <c r="O548" s="51">
        <f t="shared" si="480"/>
        <v>1995262.31496888</v>
      </c>
      <c r="P548" s="49" t="str">
        <f t="shared" si="481"/>
        <v>37.1583961085025</v>
      </c>
      <c r="Q548" s="18" t="str">
        <f t="shared" si="482"/>
        <v>1+9826.31365969647i</v>
      </c>
      <c r="R548" s="18">
        <f t="shared" si="494"/>
        <v>9826.3137105802525</v>
      </c>
      <c r="S548" s="18">
        <f t="shared" si="495"/>
        <v>1.5706945592316801</v>
      </c>
      <c r="T548" s="18" t="str">
        <f t="shared" si="483"/>
        <v>1+11.2829425752434i</v>
      </c>
      <c r="U548" s="18">
        <f t="shared" si="496"/>
        <v>11.327170571516975</v>
      </c>
      <c r="V548" s="18">
        <f t="shared" si="497"/>
        <v>1.4823979433660388</v>
      </c>
      <c r="W548" s="32" t="str">
        <f t="shared" si="484"/>
        <v>1-98.7583949366646i</v>
      </c>
      <c r="X548" s="18">
        <f t="shared" si="498"/>
        <v>98.763457667632423</v>
      </c>
      <c r="Y548" s="18">
        <f t="shared" si="499"/>
        <v>-1.560670951367334</v>
      </c>
      <c r="Z548" s="32" t="str">
        <f t="shared" si="485"/>
        <v>-98.5267926383741+23.7777567604204i</v>
      </c>
      <c r="AA548" s="18">
        <f t="shared" si="500"/>
        <v>101.35536781129497</v>
      </c>
      <c r="AB548" s="18">
        <f t="shared" si="501"/>
        <v>2.9047877466902188</v>
      </c>
      <c r="AC548" s="32" t="str">
        <f>IMDIV(IMSUM(COMPLEX(0,2*PI()*O548*Constants!$B$61*Constants!$B$62),COMPLEX(1,0)),IMSUM(COMPLEX(0,2*PI()*O548*Constants!$B$61*Constants!$B$62),COMPLEX(2,0)))</f>
        <v>0.999205927774845+0.0199099362600304i</v>
      </c>
      <c r="AD548" s="18">
        <f t="shared" si="502"/>
        <v>0.99940426838305385</v>
      </c>
      <c r="AE548" s="18">
        <f t="shared" si="503"/>
        <v>1.9923122299385185E-2</v>
      </c>
      <c r="AF548" s="66" t="str">
        <f t="shared" si="504"/>
        <v>-0.00740874559934044+0.0410504762980731i</v>
      </c>
      <c r="AG548" s="64">
        <f t="shared" si="505"/>
        <v>-27.594429854897076</v>
      </c>
      <c r="AH548" s="61">
        <f t="shared" si="506"/>
        <v>100.23055039940742</v>
      </c>
      <c r="AI548" s="50" t="str">
        <f t="shared" si="486"/>
        <v>107.538871525172</v>
      </c>
      <c r="AJ548" s="50" t="str">
        <f t="shared" si="487"/>
        <v>1+9341.39726197106i</v>
      </c>
      <c r="AK548" s="50">
        <f t="shared" si="507"/>
        <v>9341.3973154962423</v>
      </c>
      <c r="AL548" s="50">
        <f t="shared" si="508"/>
        <v>1.5706892764288607</v>
      </c>
      <c r="AM548" s="50" t="str">
        <f t="shared" si="488"/>
        <v>1+11.2829425752434i</v>
      </c>
      <c r="AN548" s="50">
        <f t="shared" si="509"/>
        <v>11.327170571516975</v>
      </c>
      <c r="AO548" s="50">
        <f t="shared" si="510"/>
        <v>1.4823979433660388</v>
      </c>
      <c r="AP548" s="50" t="str">
        <f t="shared" si="489"/>
        <v>1-32.4404155347335i</v>
      </c>
      <c r="AQ548" s="50">
        <f t="shared" si="511"/>
        <v>32.455824747896621</v>
      </c>
      <c r="AR548" s="50">
        <f t="shared" si="512"/>
        <v>-1.5399803393364817</v>
      </c>
      <c r="AS548" s="59" t="str">
        <f t="shared" si="513"/>
        <v>-0.243114116247359-4.22522652831853i</v>
      </c>
      <c r="AT548" s="50">
        <f t="shared" si="514"/>
        <v>12.53135441368997</v>
      </c>
      <c r="AU548" s="61">
        <f t="shared" si="515"/>
        <v>-93.293094729188326</v>
      </c>
      <c r="AV548" s="32" t="str">
        <f t="shared" si="490"/>
        <v>-0.0000333333333333333</v>
      </c>
      <c r="AW548" s="32" t="str">
        <f t="shared" si="491"/>
        <v>0.601756937346317i</v>
      </c>
      <c r="AX548" s="32">
        <f t="shared" si="516"/>
        <v>0.60175693734631697</v>
      </c>
      <c r="AY548" s="32">
        <f t="shared" si="517"/>
        <v>1.5707963267948966</v>
      </c>
      <c r="AZ548" s="32" t="str">
        <f t="shared" si="492"/>
        <v>1+245.508472702057i</v>
      </c>
      <c r="BA548" s="32">
        <f t="shared" si="518"/>
        <v>245.51050928320089</v>
      </c>
      <c r="BB548" s="32">
        <f t="shared" si="519"/>
        <v>1.5667231701384836</v>
      </c>
      <c r="BC548" s="32" t="str">
        <f t="shared" si="493"/>
        <v>1+11784.4066896987i</v>
      </c>
      <c r="BD548" s="32">
        <f t="shared" si="520"/>
        <v>11784.406732127649</v>
      </c>
      <c r="BE548" s="32">
        <f t="shared" si="521"/>
        <v>1.5707114688954766</v>
      </c>
      <c r="BF548" s="59" t="str">
        <f t="shared" si="522"/>
        <v>-0.0000106042951670333+0.00265883766168343i</v>
      </c>
      <c r="BG548" s="50">
        <f t="shared" si="523"/>
        <v>-51.506094482564571</v>
      </c>
      <c r="BH548" s="61">
        <f t="shared" si="524"/>
        <v>90.228512686212966</v>
      </c>
      <c r="BI548" s="59" t="str">
        <f t="shared" si="525"/>
        <v>-0.000109067987886207-0.0000201339631927698i</v>
      </c>
      <c r="BJ548" s="64">
        <f t="shared" si="526"/>
        <v>-79.10052433746165</v>
      </c>
      <c r="BK548" s="61">
        <f t="shared" si="527"/>
        <v>-169.54093691437961</v>
      </c>
      <c r="BL548" s="59" t="str">
        <f t="shared" si="478"/>
        <v>0.0112367694764852-0.000601595419111493i</v>
      </c>
      <c r="BM548" s="64">
        <f t="shared" si="528"/>
        <v>-38.974740068874603</v>
      </c>
      <c r="BN548" s="61">
        <f t="shared" si="479"/>
        <v>-3.0645820429753612</v>
      </c>
      <c r="BO548" s="50">
        <f t="shared" si="529"/>
        <v>-79.10052433746165</v>
      </c>
      <c r="BP548" s="61">
        <f t="shared" si="530"/>
        <v>-169.54093691437961</v>
      </c>
    </row>
    <row r="549" spans="14:68" x14ac:dyDescent="0.25">
      <c r="N549" s="11">
        <v>31</v>
      </c>
      <c r="O549" s="51">
        <f t="shared" si="480"/>
        <v>2041737.9446695296</v>
      </c>
      <c r="P549" s="49" t="str">
        <f t="shared" si="481"/>
        <v>37.1583961085025</v>
      </c>
      <c r="Q549" s="18" t="str">
        <f t="shared" si="482"/>
        <v>1+10055.19790792i</v>
      </c>
      <c r="R549" s="18">
        <f t="shared" si="494"/>
        <v>10055.197957645525</v>
      </c>
      <c r="S549" s="18">
        <f t="shared" si="495"/>
        <v>1.5706968757442201</v>
      </c>
      <c r="T549" s="18" t="str">
        <f t="shared" si="483"/>
        <v>1+11.5457560695528i</v>
      </c>
      <c r="U549" s="18">
        <f t="shared" si="496"/>
        <v>11.588981112143351</v>
      </c>
      <c r="V549" s="18">
        <f t="shared" si="497"/>
        <v>1.4844000225730756</v>
      </c>
      <c r="W549" s="32" t="str">
        <f t="shared" si="484"/>
        <v>1-101.058773467584i</v>
      </c>
      <c r="X549" s="18">
        <f t="shared" si="498"/>
        <v>101.06372096243273</v>
      </c>
      <c r="Y549" s="18">
        <f t="shared" si="499"/>
        <v>-1.5609014178318472</v>
      </c>
      <c r="Z549" s="32" t="str">
        <f t="shared" si="485"/>
        <v>-103.217345867583+24.3316118650945i</v>
      </c>
      <c r="AA549" s="18">
        <f t="shared" si="500"/>
        <v>106.04644182574852</v>
      </c>
      <c r="AB549" s="18">
        <f t="shared" si="501"/>
        <v>2.9100872945213103</v>
      </c>
      <c r="AC549" s="32" t="str">
        <f>IMDIV(IMSUM(COMPLEX(0,2*PI()*O549*Constants!$B$61*Constants!$B$62),COMPLEX(1,0)),IMSUM(COMPLEX(0,2*PI()*O549*Constants!$B$61*Constants!$B$62),COMPLEX(2,0)))</f>
        <v>0.999241612703996+0.0194581216131219i</v>
      </c>
      <c r="AD549" s="18">
        <f t="shared" si="502"/>
        <v>0.99943104767462254</v>
      </c>
      <c r="AE549" s="18">
        <f t="shared" si="503"/>
        <v>1.9470428834457862E-2</v>
      </c>
      <c r="AF549" s="66" t="str">
        <f t="shared" si="504"/>
        <v>-0.00708491444378386+0.0401709344946556i</v>
      </c>
      <c r="AG549" s="64">
        <f t="shared" si="505"/>
        <v>-27.788727806458958</v>
      </c>
      <c r="AH549" s="61">
        <f t="shared" si="506"/>
        <v>100.00234445709117</v>
      </c>
      <c r="AI549" s="50" t="str">
        <f t="shared" si="486"/>
        <v>107.538871525172</v>
      </c>
      <c r="AJ549" s="50" t="str">
        <f t="shared" si="487"/>
        <v>1+9558.98635628558i</v>
      </c>
      <c r="AK549" s="50">
        <f t="shared" si="507"/>
        <v>9558.9864085923818</v>
      </c>
      <c r="AL549" s="50">
        <f t="shared" si="508"/>
        <v>1.5706917131926714</v>
      </c>
      <c r="AM549" s="50" t="str">
        <f t="shared" si="488"/>
        <v>1+11.5457560695528i</v>
      </c>
      <c r="AN549" s="50">
        <f t="shared" si="509"/>
        <v>11.588981112143351</v>
      </c>
      <c r="AO549" s="50">
        <f t="shared" si="510"/>
        <v>1.4844000225730756</v>
      </c>
      <c r="AP549" s="50" t="str">
        <f t="shared" si="489"/>
        <v>1-33.1960498833684i</v>
      </c>
      <c r="AQ549" s="50">
        <f t="shared" si="511"/>
        <v>33.211108500907997</v>
      </c>
      <c r="AR549" s="50">
        <f t="shared" si="512"/>
        <v>-1.5406813678871365</v>
      </c>
      <c r="AS549" s="59" t="str">
        <f t="shared" si="513"/>
        <v>-0.243114171838621-4.32311330108903i</v>
      </c>
      <c r="AT549" s="50">
        <f t="shared" si="514"/>
        <v>12.729645144777455</v>
      </c>
      <c r="AU549" s="61">
        <f t="shared" si="515"/>
        <v>-93.218689633926928</v>
      </c>
      <c r="AV549" s="32" t="str">
        <f t="shared" si="490"/>
        <v>-0.0000333333333333333</v>
      </c>
      <c r="AW549" s="32" t="str">
        <f t="shared" si="491"/>
        <v>0.615773657042815i</v>
      </c>
      <c r="AX549" s="32">
        <f t="shared" si="516"/>
        <v>0.61577365704281495</v>
      </c>
      <c r="AY549" s="32">
        <f t="shared" si="517"/>
        <v>1.5707963267948966</v>
      </c>
      <c r="AZ549" s="32" t="str">
        <f t="shared" si="492"/>
        <v>1+251.227099661564i</v>
      </c>
      <c r="BA549" s="32">
        <f t="shared" si="518"/>
        <v>251.22908988483286</v>
      </c>
      <c r="BB549" s="32">
        <f t="shared" si="519"/>
        <v>1.5668158855127368</v>
      </c>
      <c r="BC549" s="32" t="str">
        <f t="shared" si="493"/>
        <v>1+12058.9007837551i</v>
      </c>
      <c r="BD549" s="32">
        <f t="shared" si="520"/>
        <v>12058.900825218248</v>
      </c>
      <c r="BE549" s="32">
        <f t="shared" si="521"/>
        <v>1.5707134004970822</v>
      </c>
      <c r="BF549" s="59" t="str">
        <f t="shared" si="522"/>
        <v>-0.0000101270308263144+0.0025983170272089i</v>
      </c>
      <c r="BG549" s="50">
        <f t="shared" si="523"/>
        <v>-51.706091241110826</v>
      </c>
      <c r="BH549" s="61">
        <f t="shared" si="524"/>
        <v>90.223311159191994</v>
      </c>
      <c r="BI549" s="59" t="str">
        <f t="shared" si="525"/>
        <v>-0.000104305073949383-0.0000188156661275511i</v>
      </c>
      <c r="BJ549" s="64">
        <f t="shared" si="526"/>
        <v>-79.494819047569777</v>
      </c>
      <c r="BK549" s="61">
        <f t="shared" si="527"/>
        <v>-169.77434438371685</v>
      </c>
      <c r="BL549" s="59" t="str">
        <f t="shared" si="478"/>
        <v>0.0112352809254854-0.000587907390578301i</v>
      </c>
      <c r="BM549" s="64">
        <f t="shared" si="528"/>
        <v>-38.976446096333397</v>
      </c>
      <c r="BN549" s="61">
        <f t="shared" si="479"/>
        <v>-2.9953784747349435</v>
      </c>
      <c r="BO549" s="50">
        <f t="shared" si="529"/>
        <v>-79.494819047569777</v>
      </c>
      <c r="BP549" s="61">
        <f t="shared" si="530"/>
        <v>-169.77434438371685</v>
      </c>
    </row>
    <row r="550" spans="14:68" x14ac:dyDescent="0.25">
      <c r="N550" s="11">
        <v>32</v>
      </c>
      <c r="O550" s="51">
        <f t="shared" si="480"/>
        <v>2089296.1308540432</v>
      </c>
      <c r="P550" s="49" t="str">
        <f t="shared" si="481"/>
        <v>37.1583961085025</v>
      </c>
      <c r="Q550" s="18" t="str">
        <f t="shared" si="482"/>
        <v>1+10289.4135551707i</v>
      </c>
      <c r="R550" s="18">
        <f t="shared" si="494"/>
        <v>10289.413603764333</v>
      </c>
      <c r="S550" s="18">
        <f t="shared" si="495"/>
        <v>1.570699139526498</v>
      </c>
      <c r="T550" s="18" t="str">
        <f t="shared" si="483"/>
        <v>1+11.8146912765564i</v>
      </c>
      <c r="U550" s="18">
        <f t="shared" si="496"/>
        <v>11.856935943165835</v>
      </c>
      <c r="V550" s="18">
        <f t="shared" si="497"/>
        <v>1.4863572000494891</v>
      </c>
      <c r="W550" s="32" t="str">
        <f t="shared" si="484"/>
        <v>1-103.412734697867i</v>
      </c>
      <c r="X550" s="18">
        <f t="shared" si="498"/>
        <v>103.41756957931</v>
      </c>
      <c r="Y550" s="18">
        <f t="shared" si="499"/>
        <v>-1.5611266392548833</v>
      </c>
      <c r="Z550" s="32" t="str">
        <f t="shared" si="485"/>
        <v>-108.128958060042+24.8983679124465i</v>
      </c>
      <c r="AA550" s="18">
        <f t="shared" si="500"/>
        <v>110.95855215283709</v>
      </c>
      <c r="AB550" s="18">
        <f t="shared" si="501"/>
        <v>2.9152721254956808</v>
      </c>
      <c r="AC550" s="32" t="str">
        <f>IMDIV(IMSUM(COMPLEX(0,2*PI()*O550*Constants!$B$61*Constants!$B$62),COMPLEX(1,0)),IMSUM(COMPLEX(0,2*PI()*O550*Constants!$B$61*Constants!$B$62),COMPLEX(2,0)))</f>
        <v>0.999275696309594+0.0190164988724787i</v>
      </c>
      <c r="AD550" s="18">
        <f t="shared" si="502"/>
        <v>0.99945662460378482</v>
      </c>
      <c r="AE550" s="18">
        <f t="shared" si="503"/>
        <v>1.9027985792651688E-2</v>
      </c>
      <c r="AF550" s="66" t="str">
        <f t="shared" si="504"/>
        <v>-0.00677483697880795+0.0393078935042197i</v>
      </c>
      <c r="AG550" s="64">
        <f t="shared" si="505"/>
        <v>-27.983273887946922</v>
      </c>
      <c r="AH550" s="61">
        <f t="shared" si="506"/>
        <v>99.779029472790967</v>
      </c>
      <c r="AI550" s="50" t="str">
        <f t="shared" si="486"/>
        <v>107.538871525172</v>
      </c>
      <c r="AJ550" s="50" t="str">
        <f t="shared" si="487"/>
        <v>1+9781.64375169443i</v>
      </c>
      <c r="AK550" s="50">
        <f t="shared" si="507"/>
        <v>9781.6438028105822</v>
      </c>
      <c r="AL550" s="50">
        <f t="shared" si="508"/>
        <v>1.5706940944889671</v>
      </c>
      <c r="AM550" s="50" t="str">
        <f t="shared" si="488"/>
        <v>1+11.8146912765564i</v>
      </c>
      <c r="AN550" s="50">
        <f t="shared" si="509"/>
        <v>11.856935943165835</v>
      </c>
      <c r="AO550" s="50">
        <f t="shared" si="510"/>
        <v>1.4863572000494891</v>
      </c>
      <c r="AP550" s="50" t="str">
        <f t="shared" si="489"/>
        <v>1-33.9692852170534i</v>
      </c>
      <c r="AQ550" s="50">
        <f t="shared" si="511"/>
        <v>33.984001208767666</v>
      </c>
      <c r="AR550" s="50">
        <f t="shared" si="512"/>
        <v>-1.5413664676911512</v>
      </c>
      <c r="AS550" s="59" t="str">
        <f t="shared" si="513"/>
        <v>-0.243114224927867-4.4232922457544i</v>
      </c>
      <c r="AT550" s="50">
        <f t="shared" si="514"/>
        <v>12.928012299028209</v>
      </c>
      <c r="AU550" s="61">
        <f t="shared" si="515"/>
        <v>-93.145941390313155</v>
      </c>
      <c r="AV550" s="32" t="str">
        <f t="shared" si="490"/>
        <v>-0.0000333333333333333</v>
      </c>
      <c r="AW550" s="32" t="str">
        <f t="shared" si="491"/>
        <v>0.630116868083006i</v>
      </c>
      <c r="AX550" s="32">
        <f t="shared" si="516"/>
        <v>0.63011686808300604</v>
      </c>
      <c r="AY550" s="32">
        <f t="shared" si="517"/>
        <v>1.5707963267948966</v>
      </c>
      <c r="AZ550" s="32" t="str">
        <f t="shared" si="492"/>
        <v>1+257.078930554699i</v>
      </c>
      <c r="BA550" s="32">
        <f t="shared" si="518"/>
        <v>257.08087547530204</v>
      </c>
      <c r="BB550" s="32">
        <f t="shared" si="519"/>
        <v>1.5669064904935381</v>
      </c>
      <c r="BC550" s="32" t="str">
        <f t="shared" si="493"/>
        <v>1+12339.7886666256i</v>
      </c>
      <c r="BD550" s="32">
        <f t="shared" si="520"/>
        <v>12339.788707144931</v>
      </c>
      <c r="BE550" s="32">
        <f t="shared" si="521"/>
        <v>1.5707152881300679</v>
      </c>
      <c r="BF550" s="59" t="str">
        <f t="shared" si="522"/>
        <v>-9.67124625400746E-06+0.0025391738837681i</v>
      </c>
      <c r="BG550" s="50">
        <f t="shared" si="523"/>
        <v>-51.906088145544359</v>
      </c>
      <c r="BH550" s="61">
        <f t="shared" si="524"/>
        <v>90.218228029592552</v>
      </c>
      <c r="BI550" s="59" t="str">
        <f t="shared" si="525"/>
        <v>-0.0000997440554950996-0.0000175826454411811i</v>
      </c>
      <c r="BJ550" s="64">
        <f t="shared" si="526"/>
        <v>-79.889362033491281</v>
      </c>
      <c r="BK550" s="61">
        <f t="shared" si="527"/>
        <v>-170.00274249761648</v>
      </c>
      <c r="BL550" s="59" t="str">
        <f t="shared" si="478"/>
        <v>0.0112338593682307-0.000574530542147231i</v>
      </c>
      <c r="BM550" s="64">
        <f t="shared" si="528"/>
        <v>-38.978075846516113</v>
      </c>
      <c r="BN550" s="61">
        <f t="shared" si="479"/>
        <v>-2.9277133607205799</v>
      </c>
      <c r="BO550" s="50">
        <f t="shared" si="529"/>
        <v>-79.889362033491281</v>
      </c>
      <c r="BP550" s="61">
        <f t="shared" si="530"/>
        <v>-170.00274249761648</v>
      </c>
    </row>
    <row r="551" spans="14:68" x14ac:dyDescent="0.25">
      <c r="N551" s="11">
        <v>33</v>
      </c>
      <c r="O551" s="51">
        <f t="shared" si="480"/>
        <v>2137962.0895022359</v>
      </c>
      <c r="P551" s="49" t="str">
        <f t="shared" si="481"/>
        <v>37.1583961085025</v>
      </c>
      <c r="Q551" s="18" t="str">
        <f t="shared" si="482"/>
        <v>1+10529.0847856848i</v>
      </c>
      <c r="R551" s="18">
        <f t="shared" si="494"/>
        <v>10529.084833172306</v>
      </c>
      <c r="S551" s="18">
        <f t="shared" si="495"/>
        <v>1.5707013517788009</v>
      </c>
      <c r="T551" s="18" t="str">
        <f t="shared" si="483"/>
        <v>1+12.0898907892607i</v>
      </c>
      <c r="U551" s="18">
        <f t="shared" si="496"/>
        <v>12.131177160368679</v>
      </c>
      <c r="V551" s="18">
        <f t="shared" si="497"/>
        <v>1.4882704535069462</v>
      </c>
      <c r="W551" s="32" t="str">
        <f t="shared" si="484"/>
        <v>1-105.821526728916i</v>
      </c>
      <c r="X551" s="18">
        <f t="shared" si="498"/>
        <v>105.82625155999187</v>
      </c>
      <c r="Y551" s="18">
        <f t="shared" si="499"/>
        <v>-1.5613467349603749</v>
      </c>
      <c r="Z551" s="32" t="str">
        <f t="shared" si="485"/>
        <v>-113.272047403719+25.4783254040345i</v>
      </c>
      <c r="AA551" s="18">
        <f t="shared" si="500"/>
        <v>116.1021179325521</v>
      </c>
      <c r="AB551" s="18">
        <f t="shared" si="501"/>
        <v>2.9203444713454894</v>
      </c>
      <c r="AC551" s="32" t="str">
        <f>IMDIV(IMSUM(COMPLEX(0,2*PI()*O551*Constants!$B$61*Constants!$B$62),COMPLEX(1,0)),IMSUM(COMPLEX(0,2*PI()*O551*Constants!$B$61*Constants!$B$62),COMPLEX(2,0)))</f>
        <v>0.999308250244884+0.0185848422063321i</v>
      </c>
      <c r="AD551" s="18">
        <f t="shared" si="502"/>
        <v>0.99948105303068446</v>
      </c>
      <c r="AE551" s="18">
        <f t="shared" si="503"/>
        <v>1.8595563451697172E-2</v>
      </c>
      <c r="AF551" s="66" t="str">
        <f t="shared" si="504"/>
        <v>-0.00647796328857456+0.0384611976490526i</v>
      </c>
      <c r="AG551" s="64">
        <f t="shared" si="505"/>
        <v>-28.178057657183757</v>
      </c>
      <c r="AH551" s="61">
        <f t="shared" si="506"/>
        <v>99.560513528779751</v>
      </c>
      <c r="AI551" s="50" t="str">
        <f t="shared" si="486"/>
        <v>107.538871525172</v>
      </c>
      <c r="AJ551" s="50" t="str">
        <f t="shared" si="487"/>
        <v>1+10009.4875040957i</v>
      </c>
      <c r="AK551" s="50">
        <f t="shared" si="507"/>
        <v>10009.487554048306</v>
      </c>
      <c r="AL551" s="50">
        <f t="shared" si="508"/>
        <v>1.5706964215803425</v>
      </c>
      <c r="AM551" s="50" t="str">
        <f t="shared" si="488"/>
        <v>1+12.0898907892607i</v>
      </c>
      <c r="AN551" s="50">
        <f t="shared" si="509"/>
        <v>12.131177160368679</v>
      </c>
      <c r="AO551" s="50">
        <f t="shared" si="510"/>
        <v>1.4882704535069462</v>
      </c>
      <c r="AP551" s="50" t="str">
        <f t="shared" si="489"/>
        <v>1-34.7605315153969i</v>
      </c>
      <c r="AQ551" s="50">
        <f t="shared" si="511"/>
        <v>34.774912670384971</v>
      </c>
      <c r="AR551" s="50">
        <f t="shared" si="512"/>
        <v>-1.5420359994235604</v>
      </c>
      <c r="AS551" s="59" t="str">
        <f t="shared" si="513"/>
        <v>-0.243114275627703-4.52581647851717i</v>
      </c>
      <c r="AT551" s="50">
        <f t="shared" si="514"/>
        <v>13.126452481103454</v>
      </c>
      <c r="AU551" s="61">
        <f t="shared" si="515"/>
        <v>-93.074814717093517</v>
      </c>
      <c r="AV551" s="32" t="str">
        <f t="shared" si="490"/>
        <v>-0.0000333333333333333</v>
      </c>
      <c r="AW551" s="32" t="str">
        <f t="shared" si="491"/>
        <v>0.644794175427236i</v>
      </c>
      <c r="AX551" s="32">
        <f t="shared" si="516"/>
        <v>0.64479417542723605</v>
      </c>
      <c r="AY551" s="32">
        <f t="shared" si="517"/>
        <v>1.5707963267948966</v>
      </c>
      <c r="AZ551" s="32" t="str">
        <f t="shared" si="492"/>
        <v>1+263.067068099653i</v>
      </c>
      <c r="BA551" s="32">
        <f t="shared" si="518"/>
        <v>263.06896874878163</v>
      </c>
      <c r="BB551" s="32">
        <f t="shared" si="519"/>
        <v>1.5669950331148936</v>
      </c>
      <c r="BC551" s="32" t="str">
        <f t="shared" si="493"/>
        <v>1+12627.2192687834i</v>
      </c>
      <c r="BD551" s="32">
        <f t="shared" si="520"/>
        <v>12627.219308380398</v>
      </c>
      <c r="BE551" s="32">
        <f t="shared" si="521"/>
        <v>1.5707171327952818</v>
      </c>
      <c r="BF551" s="59" t="str">
        <f t="shared" si="522"/>
        <v>-9.23597475982609E-06+0.00248137688429987i</v>
      </c>
      <c r="BG551" s="50">
        <f t="shared" si="523"/>
        <v>-52.106085189299222</v>
      </c>
      <c r="BH551" s="61">
        <f t="shared" si="524"/>
        <v>90.213260602613232</v>
      </c>
      <c r="BI551" s="59" t="str">
        <f t="shared" si="525"/>
        <v>-0.0000953768964834193-0.0000164294950123314i</v>
      </c>
      <c r="BJ551" s="64">
        <f t="shared" si="526"/>
        <v>-80.284142846482979</v>
      </c>
      <c r="BK551" s="61">
        <f t="shared" si="527"/>
        <v>-170.22622586860703</v>
      </c>
      <c r="BL551" s="59" t="str">
        <f t="shared" si="478"/>
        <v>0.0112325017896894-0.0005614578170227i</v>
      </c>
      <c r="BM551" s="64">
        <f t="shared" si="528"/>
        <v>-38.979632708195759</v>
      </c>
      <c r="BN551" s="61">
        <f t="shared" si="479"/>
        <v>-2.8615541144802927</v>
      </c>
      <c r="BO551" s="50">
        <f t="shared" si="529"/>
        <v>-80.284142846482979</v>
      </c>
      <c r="BP551" s="61">
        <f t="shared" si="530"/>
        <v>-170.22622586860703</v>
      </c>
    </row>
    <row r="552" spans="14:68" x14ac:dyDescent="0.25">
      <c r="N552" s="11">
        <v>34</v>
      </c>
      <c r="O552" s="51">
        <f t="shared" si="480"/>
        <v>2187761.6239495561</v>
      </c>
      <c r="P552" s="49" t="str">
        <f t="shared" si="481"/>
        <v>37.1583961085025</v>
      </c>
      <c r="Q552" s="18" t="str">
        <f t="shared" si="482"/>
        <v>1+10774.3386763211i</v>
      </c>
      <c r="R552" s="18">
        <f t="shared" si="494"/>
        <v>10774.338722727662</v>
      </c>
      <c r="S552" s="18">
        <f t="shared" si="495"/>
        <v>1.5707035136740946</v>
      </c>
      <c r="T552" s="18" t="str">
        <f t="shared" si="483"/>
        <v>1+12.3715005220901i</v>
      </c>
      <c r="U552" s="18">
        <f t="shared" si="496"/>
        <v>12.411850191171162</v>
      </c>
      <c r="V552" s="18">
        <f t="shared" si="497"/>
        <v>1.4901407413182859</v>
      </c>
      <c r="W552" s="32" t="str">
        <f t="shared" si="484"/>
        <v>1-108.28642673415i</v>
      </c>
      <c r="X552" s="18">
        <f t="shared" si="498"/>
        <v>108.29104401957918</v>
      </c>
      <c r="Y552" s="18">
        <f t="shared" si="499"/>
        <v>-1.5615618215606342</v>
      </c>
      <c r="Z552" s="32" t="str">
        <f t="shared" si="485"/>
        <v>-118.65752308066+26.0717918409972i</v>
      </c>
      <c r="AA552" s="18">
        <f t="shared" si="500"/>
        <v>121.48804926180043</v>
      </c>
      <c r="AB552" s="18">
        <f t="shared" si="501"/>
        <v>2.9253065367284719</v>
      </c>
      <c r="AC552" s="32" t="str">
        <f>IMDIV(IMSUM(COMPLEX(0,2*PI()*O552*Constants!$B$61*Constants!$B$62),COMPLEX(1,0)),IMSUM(COMPLEX(0,2*PI()*O552*Constants!$B$61*Constants!$B$62),COMPLEX(2,0)))</f>
        <v>0.999339342974865+0.0181629305141659i</v>
      </c>
      <c r="AD552" s="18">
        <f t="shared" si="502"/>
        <v>0.99950438441374401</v>
      </c>
      <c r="AE552" s="18">
        <f t="shared" si="503"/>
        <v>1.8172937078597511E-2</v>
      </c>
      <c r="AF552" s="66" t="str">
        <f t="shared" si="504"/>
        <v>-0.0061937625181097+0.0376306816712072i</v>
      </c>
      <c r="AG552" s="64">
        <f t="shared" si="505"/>
        <v>-28.373069080989275</v>
      </c>
      <c r="AH552" s="61">
        <f t="shared" si="506"/>
        <v>99.346705593341099</v>
      </c>
      <c r="AI552" s="50" t="str">
        <f t="shared" si="486"/>
        <v>107.538871525172</v>
      </c>
      <c r="AJ552" s="50" t="str">
        <f t="shared" si="487"/>
        <v>1+10242.6384192629i</v>
      </c>
      <c r="AK552" s="50">
        <f t="shared" si="507"/>
        <v>10242.638468078445</v>
      </c>
      <c r="AL552" s="50">
        <f t="shared" si="508"/>
        <v>1.5706986957006521</v>
      </c>
      <c r="AM552" s="50" t="str">
        <f t="shared" si="488"/>
        <v>1+12.3715005220901i</v>
      </c>
      <c r="AN552" s="50">
        <f t="shared" si="509"/>
        <v>12.411850191171162</v>
      </c>
      <c r="AO552" s="50">
        <f t="shared" si="510"/>
        <v>1.4901407413182859</v>
      </c>
      <c r="AP552" s="50" t="str">
        <f t="shared" si="489"/>
        <v>1-35.57020830766i</v>
      </c>
      <c r="AQ552" s="50">
        <f t="shared" si="511"/>
        <v>35.584262238387424</v>
      </c>
      <c r="AR552" s="50">
        <f t="shared" si="512"/>
        <v>-1.5426903156765153</v>
      </c>
      <c r="AS552" s="59" t="str">
        <f t="shared" si="513"/>
        <v>-0.243114324045672-4.63074035908266i</v>
      </c>
      <c r="AT552" s="50">
        <f t="shared" si="514"/>
        <v>13.324962444623766</v>
      </c>
      <c r="AU552" s="61">
        <f t="shared" si="515"/>
        <v>-93.005274976285989</v>
      </c>
      <c r="AV552" s="32" t="str">
        <f t="shared" si="490"/>
        <v>-0.0000333333333333333</v>
      </c>
      <c r="AW552" s="32" t="str">
        <f t="shared" si="491"/>
        <v>0.659813361178138i</v>
      </c>
      <c r="AX552" s="32">
        <f t="shared" si="516"/>
        <v>0.65981336117813805</v>
      </c>
      <c r="AY552" s="32">
        <f t="shared" si="517"/>
        <v>1.5707963267948966</v>
      </c>
      <c r="AZ552" s="32" t="str">
        <f t="shared" si="492"/>
        <v>1+269.19468728622i</v>
      </c>
      <c r="BA552" s="32">
        <f t="shared" si="518"/>
        <v>269.19654467159449</v>
      </c>
      <c r="BB552" s="32">
        <f t="shared" si="519"/>
        <v>1.5670815603177166</v>
      </c>
      <c r="BC552" s="32" t="str">
        <f t="shared" si="493"/>
        <v>1+12921.3449897386i</v>
      </c>
      <c r="BD552" s="32">
        <f t="shared" si="520"/>
        <v>12921.345028434262</v>
      </c>
      <c r="BE552" s="32">
        <f t="shared" si="521"/>
        <v>1.5707189354707893</v>
      </c>
      <c r="BF552" s="59" t="str">
        <f t="shared" si="522"/>
        <v>-8.82029315656179E-06+0.00242489539472437i</v>
      </c>
      <c r="BG552" s="50">
        <f t="shared" si="523"/>
        <v>-52.306082366105215</v>
      </c>
      <c r="BH552" s="61">
        <f t="shared" si="524"/>
        <v>90.20840624477681</v>
      </c>
      <c r="BI552" s="59" t="str">
        <f t="shared" si="525"/>
        <v>-0.0000911958358836973-0.0000153511398502019i</v>
      </c>
      <c r="BJ552" s="64">
        <f t="shared" si="526"/>
        <v>-80.679151447094483</v>
      </c>
      <c r="BK552" s="61">
        <f t="shared" si="527"/>
        <v>-170.44488816188212</v>
      </c>
      <c r="BL552" s="59" t="str">
        <f t="shared" si="478"/>
        <v>0.0112312053105125-0.000548682317270847i</v>
      </c>
      <c r="BM552" s="64">
        <f t="shared" si="528"/>
        <v>-38.981119921481422</v>
      </c>
      <c r="BN552" s="61">
        <f t="shared" si="479"/>
        <v>-2.7968687315091674</v>
      </c>
      <c r="BO552" s="50">
        <f t="shared" si="529"/>
        <v>-80.679151447094483</v>
      </c>
      <c r="BP552" s="61">
        <f t="shared" si="530"/>
        <v>-170.44488816188212</v>
      </c>
    </row>
    <row r="553" spans="14:68" x14ac:dyDescent="0.25">
      <c r="N553" s="11">
        <v>35</v>
      </c>
      <c r="O553" s="51">
        <f t="shared" si="480"/>
        <v>2238721.1385683389</v>
      </c>
      <c r="P553" s="49" t="str">
        <f t="shared" si="481"/>
        <v>37.1583961085025</v>
      </c>
      <c r="Q553" s="18" t="str">
        <f t="shared" si="482"/>
        <v>1+11025.3052639389i</v>
      </c>
      <c r="R553" s="18">
        <f t="shared" si="494"/>
        <v>11025.305309289119</v>
      </c>
      <c r="S553" s="18">
        <f t="shared" si="495"/>
        <v>1.5707056263586441</v>
      </c>
      <c r="T553" s="18" t="str">
        <f t="shared" si="483"/>
        <v>1+12.6596697882524i</v>
      </c>
      <c r="U553" s="18">
        <f t="shared" si="496"/>
        <v>12.699103871832474</v>
      </c>
      <c r="V553" s="18">
        <f t="shared" si="497"/>
        <v>1.4919690027679262</v>
      </c>
      <c r="W553" s="32" t="str">
        <f t="shared" si="484"/>
        <v>1-110.808741636179i</v>
      </c>
      <c r="X553" s="18">
        <f t="shared" si="498"/>
        <v>110.81325382368965</v>
      </c>
      <c r="Y553" s="18">
        <f t="shared" si="499"/>
        <v>-1.5617720130177748</v>
      </c>
      <c r="Z553" s="32" t="str">
        <f t="shared" si="485"/>
        <v>-124.296808406817+26.6790818870949i</v>
      </c>
      <c r="AA553" s="18">
        <f t="shared" si="500"/>
        <v>127.12777033543571</v>
      </c>
      <c r="AB553" s="18">
        <f t="shared" si="501"/>
        <v>2.9301604984271634</v>
      </c>
      <c r="AC553" s="32" t="str">
        <f>IMDIV(IMSUM(COMPLEX(0,2*PI()*O553*Constants!$B$61*Constants!$B$62),COMPLEX(1,0)),IMSUM(COMPLEX(0,2*PI()*O553*Constants!$B$61*Constants!$B$62),COMPLEX(2,0)))</f>
        <v>0.999369039916574+0.0177505473461072i</v>
      </c>
      <c r="AD553" s="18">
        <f t="shared" si="502"/>
        <v>0.99952666791579958</v>
      </c>
      <c r="AE553" s="18">
        <f t="shared" si="503"/>
        <v>1.7759886831976879E-2</v>
      </c>
      <c r="AF553" s="66" t="str">
        <f t="shared" si="504"/>
        <v>-0.00592172246807821+0.036816171668549i</v>
      </c>
      <c r="AG553" s="64">
        <f t="shared" si="505"/>
        <v>-28.568298521781962</v>
      </c>
      <c r="AH553" s="61">
        <f t="shared" si="506"/>
        <v>99.137515571848567</v>
      </c>
      <c r="AI553" s="50" t="str">
        <f t="shared" si="486"/>
        <v>107.538871525172</v>
      </c>
      <c r="AJ553" s="50" t="str">
        <f t="shared" si="487"/>
        <v>1+10481.2201168973i</v>
      </c>
      <c r="AK553" s="50">
        <f t="shared" si="507"/>
        <v>10481.220164601669</v>
      </c>
      <c r="AL553" s="50">
        <f t="shared" si="508"/>
        <v>1.5707009180556646</v>
      </c>
      <c r="AM553" s="50" t="str">
        <f t="shared" si="488"/>
        <v>1+12.6596697882524i</v>
      </c>
      <c r="AN553" s="50">
        <f t="shared" si="509"/>
        <v>12.699103871832474</v>
      </c>
      <c r="AO553" s="50">
        <f t="shared" si="510"/>
        <v>1.4919690027679262</v>
      </c>
      <c r="AP553" s="50" t="str">
        <f t="shared" si="489"/>
        <v>1-36.3987448951949i</v>
      </c>
      <c r="AQ553" s="50">
        <f t="shared" si="511"/>
        <v>36.412479041469787</v>
      </c>
      <c r="AR553" s="50">
        <f t="shared" si="512"/>
        <v>-1.5433297611348122</v>
      </c>
      <c r="AS553" s="59" t="str">
        <f t="shared" si="513"/>
        <v>-0.243114370284471-4.73811951948115i</v>
      </c>
      <c r="AT553" s="50">
        <f>20*LOG(IMABS(AS553))</f>
        <v>13.523539085798948</v>
      </c>
      <c r="AU553" s="61">
        <f t="shared" si="515"/>
        <v>-92.937288168927125</v>
      </c>
      <c r="AV553" s="32" t="str">
        <f t="shared" si="490"/>
        <v>-0.0000333333333333333</v>
      </c>
      <c r="AW553" s="32" t="str">
        <f t="shared" si="491"/>
        <v>0.675182388706797i</v>
      </c>
      <c r="AX553" s="32">
        <f t="shared" si="516"/>
        <v>0.67518238870679703</v>
      </c>
      <c r="AY553" s="32">
        <f t="shared" si="517"/>
        <v>1.5707963267948966</v>
      </c>
      <c r="AZ553" s="32" t="str">
        <f t="shared" si="492"/>
        <v>1+275.465037059196i</v>
      </c>
      <c r="BA553" s="32">
        <f t="shared" si="518"/>
        <v>275.46685216559945</v>
      </c>
      <c r="BB553" s="32">
        <f t="shared" si="519"/>
        <v>1.5671661179746903</v>
      </c>
      <c r="BC553" s="32" t="str">
        <f t="shared" si="493"/>
        <v>1+13222.3217788414i</v>
      </c>
      <c r="BD553" s="32">
        <f t="shared" si="520"/>
        <v>13222.32181665624</v>
      </c>
      <c r="BE553" s="32">
        <f t="shared" si="521"/>
        <v>1.570720697112393</v>
      </c>
      <c r="BF553" s="59" t="str">
        <f t="shared" si="522"/>
        <v>-8.42331980257826E-06+0.0023696994777515i</v>
      </c>
      <c r="BG553" s="50">
        <f t="shared" si="523"/>
        <v>-52.506079669974078</v>
      </c>
      <c r="BH553" s="61">
        <f t="shared" si="524"/>
        <v>90.203662382535612</v>
      </c>
      <c r="BI553" s="59" t="str">
        <f t="shared" si="525"/>
        <v>-0.0000871933822136394-0.0000143428170278651i</v>
      </c>
      <c r="BJ553" s="64">
        <f t="shared" si="526"/>
        <v>-81.07437819175604</v>
      </c>
      <c r="BK553" s="61">
        <f t="shared" si="527"/>
        <v>-170.65882204561578</v>
      </c>
      <c r="BL553" s="59" t="str">
        <f t="shared" si="478"/>
        <v>0.0112299671809282-0.000536197300321568i</v>
      </c>
      <c r="BM553" s="64">
        <f t="shared" si="528"/>
        <v>-38.982540584175119</v>
      </c>
      <c r="BN553" s="61">
        <f t="shared" si="479"/>
        <v>-2.7336257863915092</v>
      </c>
      <c r="BO553" s="50">
        <f t="shared" si="529"/>
        <v>-81.07437819175604</v>
      </c>
      <c r="BP553" s="61">
        <f t="shared" si="530"/>
        <v>-170.65882204561578</v>
      </c>
    </row>
    <row r="554" spans="14:68" x14ac:dyDescent="0.25">
      <c r="N554" s="11">
        <v>36</v>
      </c>
      <c r="O554" s="51">
        <f t="shared" si="480"/>
        <v>2290867.6527677765</v>
      </c>
      <c r="P554" s="49" t="str">
        <f t="shared" si="481"/>
        <v>37.1583961085025</v>
      </c>
      <c r="Q554" s="18" t="str">
        <f t="shared" si="482"/>
        <v>1+11282.1176143448i</v>
      </c>
      <c r="R554" s="18">
        <f t="shared" si="494"/>
        <v>11282.117658662721</v>
      </c>
      <c r="S554" s="18">
        <f t="shared" si="495"/>
        <v>1.5707076909526227</v>
      </c>
      <c r="T554" s="18" t="str">
        <f t="shared" si="483"/>
        <v>1+12.9545513789072i</v>
      </c>
      <c r="U554" s="18">
        <f t="shared" si="496"/>
        <v>12.993090526458531</v>
      </c>
      <c r="V554" s="18">
        <f t="shared" si="497"/>
        <v>1.4937561583087264</v>
      </c>
      <c r="W554" s="32" t="str">
        <f t="shared" si="484"/>
        <v>1-113.389808799751i</v>
      </c>
      <c r="X554" s="18">
        <f t="shared" si="498"/>
        <v>113.39421828137485</v>
      </c>
      <c r="Y554" s="18">
        <f t="shared" si="499"/>
        <v>-1.5619774207037562</v>
      </c>
      <c r="Z554" s="32" t="str">
        <f t="shared" si="485"/>
        <v>-130.201865062444+27.3005175355487i</v>
      </c>
      <c r="AA554" s="18">
        <f t="shared" si="500"/>
        <v>133.03324367784043</v>
      </c>
      <c r="AB554" s="18">
        <f t="shared" si="501"/>
        <v>2.9349085046440209</v>
      </c>
      <c r="AC554" s="32" t="str">
        <f>IMDIV(IMSUM(COMPLEX(0,2*PI()*O554*Constants!$B$61*Constants!$B$62),COMPLEX(1,0)),IMSUM(COMPLEX(0,2*PI()*O554*Constants!$B$61*Constants!$B$62),COMPLEX(2,0)))</f>
        <v>0.999397403573328+0.01734748082237i</v>
      </c>
      <c r="AD554" s="18">
        <f t="shared" si="502"/>
        <v>0.99954795050562328</v>
      </c>
      <c r="AE554" s="18">
        <f t="shared" si="503"/>
        <v>1.735619766559976E-2</v>
      </c>
      <c r="AF554" s="66" t="str">
        <f t="shared" si="504"/>
        <v>-0.005661349173754+0.036017485977176i</v>
      </c>
      <c r="AG554" s="64">
        <f t="shared" si="505"/>
        <v>-28.763736724387662</v>
      </c>
      <c r="AH554" s="61">
        <f t="shared" si="506"/>
        <v>98.932854352865846</v>
      </c>
      <c r="AI554" s="50" t="str">
        <f t="shared" si="486"/>
        <v>107.538871525172</v>
      </c>
      <c r="AJ554" s="50" t="str">
        <f t="shared" si="487"/>
        <v>1+10725.3590961732i</v>
      </c>
      <c r="AK554" s="50">
        <f t="shared" si="507"/>
        <v>10725.359142791687</v>
      </c>
      <c r="AL554" s="50">
        <f t="shared" si="508"/>
        <v>1.570703089823702</v>
      </c>
      <c r="AM554" s="50" t="str">
        <f t="shared" si="488"/>
        <v>1+12.9545513789072i</v>
      </c>
      <c r="AN554" s="50">
        <f t="shared" si="509"/>
        <v>12.993090526458531</v>
      </c>
      <c r="AO554" s="50">
        <f t="shared" si="510"/>
        <v>1.4937561583087264</v>
      </c>
      <c r="AP554" s="50" t="str">
        <f t="shared" si="489"/>
        <v>1-37.2465805790681i</v>
      </c>
      <c r="AQ554" s="50">
        <f t="shared" si="511"/>
        <v>37.260002211929802</v>
      </c>
      <c r="AR554" s="50">
        <f t="shared" si="512"/>
        <v>-1.5439546727479956</v>
      </c>
      <c r="AS554" s="59" t="str">
        <f t="shared" si="513"/>
        <v>-0.243114414442181-4.84801089356497i</v>
      </c>
      <c r="AT554" s="50">
        <f t="shared" si="514"/>
        <v>13.72217943731642</v>
      </c>
      <c r="AU554" s="61">
        <f t="shared" si="515"/>
        <v>-92.870820930252606</v>
      </c>
      <c r="AV554" s="32" t="str">
        <f t="shared" si="490"/>
        <v>-0.0000333333333333333</v>
      </c>
      <c r="AW554" s="32" t="str">
        <f t="shared" si="491"/>
        <v>0.690909406875047i</v>
      </c>
      <c r="AX554" s="32">
        <f t="shared" si="516"/>
        <v>0.69090940687504698</v>
      </c>
      <c r="AY554" s="32">
        <f t="shared" si="517"/>
        <v>1.5707963267948966</v>
      </c>
      <c r="AZ554" s="32" t="str">
        <f t="shared" si="492"/>
        <v>1+281.881442041035i</v>
      </c>
      <c r="BA554" s="32">
        <f t="shared" si="518"/>
        <v>281.88321583083547</v>
      </c>
      <c r="BB554" s="32">
        <f t="shared" si="519"/>
        <v>1.5672487509145636</v>
      </c>
      <c r="BC554" s="32" t="str">
        <f t="shared" si="493"/>
        <v>1+13530.3092179697i</v>
      </c>
      <c r="BD554" s="32">
        <f t="shared" si="520"/>
        <v>13530.30925492377</v>
      </c>
      <c r="BE554" s="32">
        <f t="shared" si="521"/>
        <v>1.5707224186541386</v>
      </c>
      <c r="BF554" s="59" t="str">
        <f t="shared" si="522"/>
        <v>-8.04421273236393E-06+0.00231575987705505i</v>
      </c>
      <c r="BG554" s="50">
        <f t="shared" si="523"/>
        <v>-52.706077095187325</v>
      </c>
      <c r="BH554" s="61">
        <f t="shared" si="524"/>
        <v>90.199026500908403</v>
      </c>
      <c r="BI554" s="59" t="str">
        <f t="shared" si="525"/>
        <v>-0.0000833623078012312-0.0000134000575858636i</v>
      </c>
      <c r="BJ554" s="64">
        <f t="shared" si="526"/>
        <v>-81.469813819574995</v>
      </c>
      <c r="BK554" s="61">
        <f t="shared" si="527"/>
        <v>-170.86811914622575</v>
      </c>
      <c r="BL554" s="59" t="str">
        <f t="shared" si="478"/>
        <v>0.0112287847749116-0.000523996175542281i</v>
      </c>
      <c r="BM554" s="64">
        <f t="shared" si="528"/>
        <v>-38.983897657870926</v>
      </c>
      <c r="BN554" s="61">
        <f t="shared" si="479"/>
        <v>-2.6717944293442226</v>
      </c>
      <c r="BO554" s="50">
        <f t="shared" si="529"/>
        <v>-81.469813819574995</v>
      </c>
      <c r="BP554" s="61">
        <f t="shared" si="530"/>
        <v>-170.86811914622575</v>
      </c>
    </row>
    <row r="555" spans="14:68" x14ac:dyDescent="0.25">
      <c r="N555" s="11">
        <v>37</v>
      </c>
      <c r="O555" s="51">
        <f t="shared" si="480"/>
        <v>2344228.8153199251</v>
      </c>
      <c r="P555" s="49" t="str">
        <f t="shared" si="481"/>
        <v>37.1583961085025</v>
      </c>
      <c r="Q555" s="18" t="str">
        <f t="shared" si="482"/>
        <v>1+11544.9118928463i</v>
      </c>
      <c r="R555" s="18">
        <f t="shared" si="494"/>
        <v>11544.911936155422</v>
      </c>
      <c r="S555" s="18">
        <f t="shared" si="495"/>
        <v>1.5707097085507056</v>
      </c>
      <c r="T555" s="18" t="str">
        <f t="shared" si="483"/>
        <v>1+13.2563016441767i</v>
      </c>
      <c r="U555" s="18">
        <f t="shared" si="496"/>
        <v>13.293966047850503</v>
      </c>
      <c r="V555" s="18">
        <f t="shared" si="497"/>
        <v>1.4955031098243778</v>
      </c>
      <c r="W555" s="32" t="str">
        <f t="shared" si="484"/>
        <v>1-116.03099674084i</v>
      </c>
      <c r="X555" s="18">
        <f t="shared" si="498"/>
        <v>116.0353058541788</v>
      </c>
      <c r="Y555" s="18">
        <f t="shared" si="499"/>
        <v>-1.5621781534590795</v>
      </c>
      <c r="Z555" s="32" t="str">
        <f t="shared" si="485"/>
        <v>-136.385218464407+27.9364282797649i</v>
      </c>
      <c r="AA555" s="18">
        <f t="shared" si="500"/>
        <v>139.21699551640407</v>
      </c>
      <c r="AB555" s="18">
        <f t="shared" si="501"/>
        <v>2.9395526743866847</v>
      </c>
      <c r="AC555" s="32" t="str">
        <f>IMDIV(IMSUM(COMPLEX(0,2*PI()*O555*Constants!$B$61*Constants!$B$62),COMPLEX(1,0)),IMSUM(COMPLEX(0,2*PI()*O555*Constants!$B$61*Constants!$B$62),COMPLEX(2,0)))</f>
        <v>0.999424493663198+0.0169535235528655i</v>
      </c>
      <c r="AD555" s="18">
        <f t="shared" si="502"/>
        <v>0.99956827705504792</v>
      </c>
      <c r="AE555" s="18">
        <f t="shared" si="503"/>
        <v>1.6961659233102271E-2</v>
      </c>
      <c r="AF555" s="66" t="str">
        <f t="shared" si="504"/>
        <v>-0.00541216647121331+0.0352344360021202i</v>
      </c>
      <c r="AG555" s="64">
        <f t="shared" si="505"/>
        <v>-28.959374803073594</v>
      </c>
      <c r="AH555" s="61">
        <f t="shared" si="506"/>
        <v>98.7326338495469</v>
      </c>
      <c r="AI555" s="50" t="str">
        <f t="shared" si="486"/>
        <v>107.538871525172</v>
      </c>
      <c r="AJ555" s="50" t="str">
        <f t="shared" si="487"/>
        <v>1+10975.1848028087i</v>
      </c>
      <c r="AK555" s="50">
        <f t="shared" si="507"/>
        <v>10975.18484836602</v>
      </c>
      <c r="AL555" s="50">
        <f t="shared" si="508"/>
        <v>1.5707052121562641</v>
      </c>
      <c r="AM555" s="50" t="str">
        <f t="shared" si="488"/>
        <v>1+13.2563016441767i</v>
      </c>
      <c r="AN555" s="50">
        <f t="shared" si="509"/>
        <v>13.293966047850503</v>
      </c>
      <c r="AO555" s="50">
        <f t="shared" si="510"/>
        <v>1.4955031098243778</v>
      </c>
      <c r="AP555" s="50" t="str">
        <f t="shared" si="489"/>
        <v>1-38.1141648929808i</v>
      </c>
      <c r="AQ555" s="50">
        <f t="shared" si="511"/>
        <v>38.127281118502673</v>
      </c>
      <c r="AR555" s="50">
        <f t="shared" si="512"/>
        <v>-1.5445653798990595</v>
      </c>
      <c r="AS555" s="59" t="str">
        <f t="shared" si="513"/>
        <v>-0.243114456612467-4.96047274719516i</v>
      </c>
      <c r="AT555" s="50">
        <f t="shared" si="514"/>
        <v>13.920880662477146</v>
      </c>
      <c r="AU555" s="61">
        <f t="shared" si="515"/>
        <v>-92.805840524364754</v>
      </c>
      <c r="AV555" s="32" t="str">
        <f t="shared" si="490"/>
        <v>-0.0000333333333333333</v>
      </c>
      <c r="AW555" s="32" t="str">
        <f t="shared" si="491"/>
        <v>0.707002754356088i</v>
      </c>
      <c r="AX555" s="32">
        <f t="shared" si="516"/>
        <v>0.70700275435608795</v>
      </c>
      <c r="AY555" s="32">
        <f t="shared" si="517"/>
        <v>1.5707963267948966</v>
      </c>
      <c r="AZ555" s="32" t="str">
        <f t="shared" si="492"/>
        <v>1+288.447304294585i</v>
      </c>
      <c r="BA555" s="32">
        <f t="shared" si="518"/>
        <v>288.44903770824567</v>
      </c>
      <c r="BB555" s="32">
        <f t="shared" si="519"/>
        <v>1.5673295029458989</v>
      </c>
      <c r="BC555" s="32" t="str">
        <f t="shared" si="493"/>
        <v>1+13845.4706061401i</v>
      </c>
      <c r="BD555" s="32">
        <f t="shared" si="520"/>
        <v>13845.470642252991</v>
      </c>
      <c r="BE555" s="32">
        <f t="shared" si="521"/>
        <v>1.5707241010088104</v>
      </c>
      <c r="BF555" s="59" t="str">
        <f t="shared" si="522"/>
        <v>-7.68216787119089E-06+0.00226304800180503i</v>
      </c>
      <c r="BG555" s="50">
        <f t="shared" si="523"/>
        <v>-52.906074636283648</v>
      </c>
      <c r="BH555" s="61">
        <f t="shared" si="524"/>
        <v>90.194496142148111</v>
      </c>
      <c r="BI555" s="59" t="str">
        <f t="shared" si="525"/>
        <v>-0.0000796956428179466-0.0000125186693703305i</v>
      </c>
      <c r="BJ555" s="64">
        <f t="shared" si="526"/>
        <v>-81.865449439357235</v>
      </c>
      <c r="BK555" s="61">
        <f t="shared" si="527"/>
        <v>-171.07287000830496</v>
      </c>
      <c r="BL555" s="59" t="str">
        <f t="shared" si="478"/>
        <v>0.0112276555846159-0.000512072500882338i</v>
      </c>
      <c r="BM555" s="64">
        <f t="shared" si="528"/>
        <v>-38.985193973806517</v>
      </c>
      <c r="BN555" s="61">
        <f t="shared" si="479"/>
        <v>-2.6113443822166391</v>
      </c>
      <c r="BO555" s="50">
        <f t="shared" si="529"/>
        <v>-81.865449439357235</v>
      </c>
      <c r="BP555" s="61">
        <f t="shared" si="530"/>
        <v>-171.07287000830496</v>
      </c>
    </row>
    <row r="556" spans="14:68" x14ac:dyDescent="0.25">
      <c r="N556" s="11">
        <v>38</v>
      </c>
      <c r="O556" s="51">
        <f t="shared" si="480"/>
        <v>2398832.9190194933</v>
      </c>
      <c r="P556" s="49" t="str">
        <f t="shared" si="481"/>
        <v>37.1583961085025</v>
      </c>
      <c r="Q556" s="18" t="str">
        <f t="shared" si="482"/>
        <v>1+11813.8274364483i</v>
      </c>
      <c r="R556" s="18">
        <f t="shared" si="494"/>
        <v>11813.827478771587</v>
      </c>
      <c r="S556" s="18">
        <f t="shared" si="495"/>
        <v>1.5707116802226497</v>
      </c>
      <c r="T556" s="18" t="str">
        <f t="shared" si="483"/>
        <v>1+13.5650805760458i</v>
      </c>
      <c r="U556" s="18">
        <f t="shared" si="496"/>
        <v>13.601889980242271</v>
      </c>
      <c r="V556" s="18">
        <f t="shared" si="497"/>
        <v>1.4972107408965203</v>
      </c>
      <c r="W556" s="32" t="str">
        <f t="shared" si="484"/>
        <v>1-118.733705852252i</v>
      </c>
      <c r="X556" s="18">
        <f t="shared" si="498"/>
        <v>118.73791688171518</v>
      </c>
      <c r="Y556" s="18">
        <f t="shared" si="499"/>
        <v>-1.5623743176501652</v>
      </c>
      <c r="Z556" s="32" t="str">
        <f t="shared" si="485"/>
        <v>-142.859984334289+28.5871512880372i</v>
      </c>
      <c r="AA556" s="18">
        <f t="shared" si="500"/>
        <v>145.69214235077479</v>
      </c>
      <c r="AB556" s="18">
        <f t="shared" si="501"/>
        <v>2.944095096937986</v>
      </c>
      <c r="AC556" s="32" t="str">
        <f>IMDIV(IMSUM(COMPLEX(0,2*PI()*O556*Constants!$B$61*Constants!$B$62),COMPLEX(1,0)),IMSUM(COMPLEX(0,2*PI()*O556*Constants!$B$61*Constants!$B$62),COMPLEX(2,0)))</f>
        <v>0.999450367241913+0.0165684725570849i</v>
      </c>
      <c r="AD556" s="18">
        <f t="shared" si="502"/>
        <v>0.99958769043184492</v>
      </c>
      <c r="AE556" s="18">
        <f t="shared" si="503"/>
        <v>1.6576065793974019E-2</v>
      </c>
      <c r="AF556" s="66" t="str">
        <f t="shared" si="504"/>
        <v>-0.00517371555350988+0.0344668269982661i</v>
      </c>
      <c r="AG556" s="64">
        <f t="shared" si="505"/>
        <v>-29.155204228826719</v>
      </c>
      <c r="AH556" s="61">
        <f t="shared" si="506"/>
        <v>98.536767036599642</v>
      </c>
      <c r="AI556" s="50" t="str">
        <f t="shared" si="486"/>
        <v>107.538871525172</v>
      </c>
      <c r="AJ556" s="50" t="str">
        <f t="shared" si="487"/>
        <v>1+11230.8296977003i</v>
      </c>
      <c r="AK556" s="50">
        <f t="shared" si="507"/>
        <v>11230.829742220607</v>
      </c>
      <c r="AL556" s="50">
        <f t="shared" si="508"/>
        <v>1.57070728617864</v>
      </c>
      <c r="AM556" s="50" t="str">
        <f t="shared" si="488"/>
        <v>1+13.5650805760458i</v>
      </c>
      <c r="AN556" s="50">
        <f t="shared" si="509"/>
        <v>13.601889980242271</v>
      </c>
      <c r="AO556" s="50">
        <f t="shared" si="510"/>
        <v>1.4972107408965203</v>
      </c>
      <c r="AP556" s="50" t="str">
        <f t="shared" si="489"/>
        <v>1-39.0019578416203i</v>
      </c>
      <c r="AQ556" s="50">
        <f t="shared" si="511"/>
        <v>39.01477560462866</v>
      </c>
      <c r="AR556" s="50">
        <f t="shared" si="512"/>
        <v>-1.5451622045698052</v>
      </c>
      <c r="AS556" s="59" t="str">
        <f t="shared" si="513"/>
        <v>-0.24311449688478-5.0755647091352i</v>
      </c>
      <c r="AT556" s="50">
        <f t="shared" si="514"/>
        <v>14.119640049572844</v>
      </c>
      <c r="AU556" s="61">
        <f t="shared" si="515"/>
        <v>-92.742314838437366</v>
      </c>
      <c r="AV556" s="32" t="str">
        <f t="shared" si="490"/>
        <v>-0.0000333333333333333</v>
      </c>
      <c r="AW556" s="32" t="str">
        <f t="shared" si="491"/>
        <v>0.723470964055776i</v>
      </c>
      <c r="AX556" s="32">
        <f t="shared" si="516"/>
        <v>0.72347096405577604</v>
      </c>
      <c r="AY556" s="32">
        <f t="shared" si="517"/>
        <v>1.5707963267948966</v>
      </c>
      <c r="AZ556" s="32" t="str">
        <f t="shared" si="492"/>
        <v>1+295.166105126923i</v>
      </c>
      <c r="BA556" s="32">
        <f t="shared" si="518"/>
        <v>295.1677990835006</v>
      </c>
      <c r="BB556" s="32">
        <f t="shared" si="519"/>
        <v>1.5674084168802769</v>
      </c>
      <c r="BC556" s="32" t="str">
        <f t="shared" si="493"/>
        <v>1+14167.9730460923i</v>
      </c>
      <c r="BD556" s="32">
        <f t="shared" si="520"/>
        <v>14167.973081383161</v>
      </c>
      <c r="BE556" s="32">
        <f t="shared" si="521"/>
        <v>1.5707257450684149</v>
      </c>
      <c r="BF556" s="59" t="str">
        <f t="shared" si="522"/>
        <v>-7.33641733009143E-06+0.00221153591154971i</v>
      </c>
      <c r="BG556" s="50">
        <f t="shared" si="523"/>
        <v>-53.106072288047557</v>
      </c>
      <c r="BH556" s="61">
        <f t="shared" si="524"/>
        <v>90.190068904440082</v>
      </c>
      <c r="BI556" s="59" t="str">
        <f t="shared" si="525"/>
        <v>-0.0000761866691273888-0.0000116947207696337i</v>
      </c>
      <c r="BJ556" s="64">
        <f t="shared" si="526"/>
        <v>-82.26127651687429</v>
      </c>
      <c r="BK556" s="61">
        <f t="shared" si="527"/>
        <v>-171.27316405896028</v>
      </c>
      <c r="BL556" s="59" t="str">
        <f t="shared" si="478"/>
        <v>0.011226577215055-0.000500419979586931i</v>
      </c>
      <c r="BM556" s="64">
        <f t="shared" si="528"/>
        <v>-38.986432238474713</v>
      </c>
      <c r="BN556" s="61">
        <f t="shared" si="479"/>
        <v>-2.5522459339972738</v>
      </c>
      <c r="BO556" s="50">
        <f t="shared" si="529"/>
        <v>-82.26127651687429</v>
      </c>
      <c r="BP556" s="61">
        <f t="shared" si="530"/>
        <v>-171.27316405896028</v>
      </c>
    </row>
    <row r="557" spans="14:68" x14ac:dyDescent="0.25">
      <c r="N557" s="11">
        <v>39</v>
      </c>
      <c r="O557" s="51">
        <f t="shared" si="480"/>
        <v>2454708.915685033</v>
      </c>
      <c r="P557" s="49" t="str">
        <f t="shared" si="481"/>
        <v>37.1583961085025</v>
      </c>
      <c r="Q557" s="18" t="str">
        <f t="shared" si="482"/>
        <v>1+12089.0068277317i</v>
      </c>
      <c r="R557" s="18">
        <f t="shared" si="494"/>
        <v>12089.00686909159</v>
      </c>
      <c r="S557" s="18">
        <f t="shared" si="495"/>
        <v>1.5707136070138616</v>
      </c>
      <c r="T557" s="18" t="str">
        <f t="shared" si="483"/>
        <v>1+13.8810518931914i</v>
      </c>
      <c r="U557" s="18">
        <f t="shared" si="496"/>
        <v>13.91702560396698</v>
      </c>
      <c r="V557" s="18">
        <f t="shared" si="497"/>
        <v>1.4988799170757765</v>
      </c>
      <c r="W557" s="32" t="str">
        <f t="shared" si="484"/>
        <v>1-121.499369146134i</v>
      </c>
      <c r="X557" s="18">
        <f t="shared" si="498"/>
        <v>121.50348432414825</v>
      </c>
      <c r="Y557" s="18">
        <f t="shared" si="499"/>
        <v>-1.5625660172254416</v>
      </c>
      <c r="Z557" s="32" t="str">
        <f t="shared" si="485"/>
        <v>-149.639896518589+29.2530315823182i</v>
      </c>
      <c r="AA557" s="18">
        <f t="shared" si="500"/>
        <v>152.47241877418398</v>
      </c>
      <c r="AB557" s="18">
        <f t="shared" si="501"/>
        <v>2.9485378314053365</v>
      </c>
      <c r="AC557" s="32" t="str">
        <f>IMDIV(IMSUM(COMPLEX(0,2*PI()*O557*Constants!$B$61*Constants!$B$62),COMPLEX(1,0)),IMSUM(COMPLEX(0,2*PI()*O557*Constants!$B$61*Constants!$B$62),COMPLEX(2,0)))</f>
        <v>0.999475078820465+0.0161921291843491i</v>
      </c>
      <c r="AD557" s="18">
        <f t="shared" si="502"/>
        <v>0.99960623158856776</v>
      </c>
      <c r="AE557" s="18">
        <f t="shared" si="503"/>
        <v>1.6199216120820599E-2</v>
      </c>
      <c r="AF557" s="66" t="str">
        <f t="shared" si="504"/>
        <v>-0.00494555451934892+0.0337144588034579i</v>
      </c>
      <c r="AG557" s="64">
        <f t="shared" si="505"/>
        <v>-29.351216816890201</v>
      </c>
      <c r="AH557" s="61">
        <f t="shared" si="506"/>
        <v>98.345167983073452</v>
      </c>
      <c r="AI557" s="50" t="str">
        <f t="shared" si="486"/>
        <v>107.538871525172</v>
      </c>
      <c r="AJ557" s="50" t="str">
        <f t="shared" si="487"/>
        <v>1+11492.4293271553i</v>
      </c>
      <c r="AK557" s="50">
        <f t="shared" si="507"/>
        <v>11492.429370662201</v>
      </c>
      <c r="AL557" s="50">
        <f t="shared" si="508"/>
        <v>1.5707093129905034</v>
      </c>
      <c r="AM557" s="50" t="str">
        <f t="shared" si="488"/>
        <v>1+13.8810518931914i</v>
      </c>
      <c r="AN557" s="50">
        <f t="shared" si="509"/>
        <v>13.91702560396698</v>
      </c>
      <c r="AO557" s="50">
        <f t="shared" si="510"/>
        <v>1.4988799170757765</v>
      </c>
      <c r="AP557" s="50" t="str">
        <f t="shared" si="489"/>
        <v>1-39.9104301445594i</v>
      </c>
      <c r="AQ557" s="50">
        <f t="shared" si="511"/>
        <v>39.922956232270117</v>
      </c>
      <c r="AR557" s="50">
        <f t="shared" si="512"/>
        <v>-1.5457454615028892</v>
      </c>
      <c r="AS557" s="59" t="str">
        <f t="shared" si="513"/>
        <v>-0.243114535344538-5.19334780266671i</v>
      </c>
      <c r="AT557" s="50">
        <f t="shared" si="514"/>
        <v>14.318455006493117</v>
      </c>
      <c r="AU557" s="61">
        <f t="shared" si="515"/>
        <v>-92.680212376505295</v>
      </c>
      <c r="AV557" s="32" t="str">
        <f t="shared" si="490"/>
        <v>-0.0000333333333333333</v>
      </c>
      <c r="AW557" s="32" t="str">
        <f t="shared" si="491"/>
        <v>0.740322767636877i</v>
      </c>
      <c r="AX557" s="32">
        <f t="shared" si="516"/>
        <v>0.74032276763687699</v>
      </c>
      <c r="AY557" s="32">
        <f t="shared" si="517"/>
        <v>1.5707963267948966</v>
      </c>
      <c r="AZ557" s="32" t="str">
        <f t="shared" si="492"/>
        <v>1+302.041406935184i</v>
      </c>
      <c r="BA557" s="32">
        <f t="shared" si="518"/>
        <v>302.04306233281608</v>
      </c>
      <c r="BB557" s="32">
        <f t="shared" si="519"/>
        <v>1.5674855345549765</v>
      </c>
      <c r="BC557" s="32" t="str">
        <f t="shared" si="493"/>
        <v>1+14497.9875328888i</v>
      </c>
      <c r="BD557" s="32">
        <f t="shared" si="520"/>
        <v>14497.987567376342</v>
      </c>
      <c r="BE557" s="32">
        <f t="shared" si="521"/>
        <v>1.5707273517046543</v>
      </c>
      <c r="BF557" s="59" t="str">
        <f t="shared" si="522"/>
        <v>-7.00622777754463E-06+0.00216119630143981i</v>
      </c>
      <c r="BG557" s="50">
        <f t="shared" si="523"/>
        <v>-53.306070045498331</v>
      </c>
      <c r="BH557" s="61">
        <f t="shared" si="524"/>
        <v>90.185742440629667</v>
      </c>
      <c r="BI557" s="59" t="str">
        <f t="shared" si="525"/>
        <v>-0.0000728289139896292-0.0000109245253135595i</v>
      </c>
      <c r="BJ557" s="64">
        <f t="shared" si="526"/>
        <v>-82.657286862388531</v>
      </c>
      <c r="BK557" s="61">
        <f t="shared" si="527"/>
        <v>-171.46908957629688</v>
      </c>
      <c r="BL557" s="59" t="str">
        <f t="shared" si="478"/>
        <v>0.0112255473790245-0.00048903245697938i</v>
      </c>
      <c r="BM557" s="64">
        <f t="shared" si="528"/>
        <v>-38.98761503900522</v>
      </c>
      <c r="BN557" s="61">
        <f t="shared" si="479"/>
        <v>-2.4944699358756415</v>
      </c>
      <c r="BO557" s="50">
        <f t="shared" si="529"/>
        <v>-82.657286862388531</v>
      </c>
      <c r="BP557" s="61">
        <f t="shared" si="530"/>
        <v>-171.46908957629688</v>
      </c>
    </row>
    <row r="558" spans="14:68" x14ac:dyDescent="0.25">
      <c r="N558" s="11">
        <v>40</v>
      </c>
      <c r="O558" s="51">
        <f t="shared" si="480"/>
        <v>2511886.431509587</v>
      </c>
      <c r="P558" s="49" t="str">
        <f t="shared" si="481"/>
        <v>37.1583961085025</v>
      </c>
      <c r="Q558" s="18" t="str">
        <f t="shared" si="482"/>
        <v>1+12370.5959704521i</v>
      </c>
      <c r="R558" s="18">
        <f t="shared" si="494"/>
        <v>12370.596010870522</v>
      </c>
      <c r="S558" s="18">
        <f t="shared" si="495"/>
        <v>1.5707154899459517</v>
      </c>
      <c r="T558" s="18" t="str">
        <f t="shared" si="483"/>
        <v>1+14.2043831277883i</v>
      </c>
      <c r="U558" s="18">
        <f t="shared" si="496"/>
        <v>14.239540022100325</v>
      </c>
      <c r="V558" s="18">
        <f t="shared" si="497"/>
        <v>1.500511486156006</v>
      </c>
      <c r="W558" s="32" t="str">
        <f t="shared" si="484"/>
        <v>1-124.329453013772i</v>
      </c>
      <c r="X558" s="18">
        <f t="shared" si="498"/>
        <v>124.33347452196345</v>
      </c>
      <c r="Y558" s="18">
        <f t="shared" si="499"/>
        <v>-1.562753353770171</v>
      </c>
      <c r="Z558" s="32" t="str">
        <f t="shared" si="485"/>
        <v>-156.739336120049+29.9344222211539i</v>
      </c>
      <c r="AA558" s="18">
        <f t="shared" si="500"/>
        <v>159.57220660587481</v>
      </c>
      <c r="AB558" s="18">
        <f t="shared" si="501"/>
        <v>2.9528829063444921</v>
      </c>
      <c r="AC558" s="32" t="str">
        <f>IMDIV(IMSUM(COMPLEX(0,2*PI()*O558*Constants!$B$61*Constants!$B$62),COMPLEX(1,0)),IMSUM(COMPLEX(0,2*PI()*O558*Constants!$B$61*Constants!$B$62),COMPLEX(2,0)))</f>
        <v>0.999498680477605+0.0158242990345136i</v>
      </c>
      <c r="AD558" s="18">
        <f t="shared" si="502"/>
        <v>0.99962393964750929</v>
      </c>
      <c r="AE558" s="18">
        <f t="shared" si="503"/>
        <v>1.5830913407936045E-2</v>
      </c>
      <c r="AF558" s="66" t="str">
        <f t="shared" si="504"/>
        <v>-0.00472725791654048+0.0329771265257711i</v>
      </c>
      <c r="AG558" s="64">
        <f t="shared" si="505"/>
        <v>-29.547404714570678</v>
      </c>
      <c r="AH558" s="61">
        <f t="shared" si="506"/>
        <v>98.15775188121809</v>
      </c>
      <c r="AI558" s="50" t="str">
        <f t="shared" si="486"/>
        <v>107.538871525172</v>
      </c>
      <c r="AJ558" s="50" t="str">
        <f t="shared" si="487"/>
        <v>1+11760.1223947598i</v>
      </c>
      <c r="AK558" s="50">
        <f t="shared" si="507"/>
        <v>11760.122437276363</v>
      </c>
      <c r="AL558" s="50">
        <f t="shared" si="508"/>
        <v>1.5707112936664969</v>
      </c>
      <c r="AM558" s="50" t="str">
        <f t="shared" si="488"/>
        <v>1+14.2043831277883i</v>
      </c>
      <c r="AN558" s="50">
        <f t="shared" si="509"/>
        <v>14.239540022100325</v>
      </c>
      <c r="AO558" s="50">
        <f t="shared" si="510"/>
        <v>1.500511486156006</v>
      </c>
      <c r="AP558" s="50" t="str">
        <f t="shared" si="489"/>
        <v>1-40.8400634858384i</v>
      </c>
      <c r="AQ558" s="50">
        <f t="shared" si="511"/>
        <v>40.852304531413047</v>
      </c>
      <c r="AR558" s="50">
        <f t="shared" si="512"/>
        <v>-1.5463154583606091</v>
      </c>
      <c r="AS558" s="59" t="str">
        <f t="shared" si="513"/>
        <v>-0.243114572073325-5.31388447794507i</v>
      </c>
      <c r="AT558" s="50">
        <f t="shared" si="514"/>
        <v>14.517323055556069</v>
      </c>
      <c r="AU558" s="61">
        <f t="shared" si="515"/>
        <v>-92.619502252882199</v>
      </c>
      <c r="AV558" s="32" t="str">
        <f t="shared" si="490"/>
        <v>-0.0000333333333333333</v>
      </c>
      <c r="AW558" s="32" t="str">
        <f t="shared" si="491"/>
        <v>0.75756710014871i</v>
      </c>
      <c r="AX558" s="32">
        <f t="shared" si="516"/>
        <v>0.75756710014870998</v>
      </c>
      <c r="AY558" s="32">
        <f t="shared" si="517"/>
        <v>1.5707963267948966</v>
      </c>
      <c r="AZ558" s="32" t="str">
        <f t="shared" si="492"/>
        <v>1+309.076855095394i</v>
      </c>
      <c r="BA558" s="32">
        <f t="shared" si="518"/>
        <v>309.0784728117751</v>
      </c>
      <c r="BB558" s="32">
        <f t="shared" si="519"/>
        <v>1.5675608968551384</v>
      </c>
      <c r="BC558" s="32" t="str">
        <f t="shared" si="493"/>
        <v>1+14835.6890445789i</v>
      </c>
      <c r="BD558" s="32">
        <f t="shared" si="520"/>
        <v>14835.68907828141</v>
      </c>
      <c r="BE558" s="32">
        <f t="shared" si="521"/>
        <v>1.5707289217693881</v>
      </c>
      <c r="BF558" s="59" t="str">
        <f t="shared" si="522"/>
        <v>-6.69089888442063E-06+0.00211200248778712i</v>
      </c>
      <c r="BG558" s="50">
        <f t="shared" si="523"/>
        <v>-53.506067903879327</v>
      </c>
      <c r="BH558" s="61">
        <f t="shared" si="524"/>
        <v>90.181514456978803</v>
      </c>
      <c r="BI558" s="59" t="str">
        <f t="shared" si="525"/>
        <v>-0.0000696161436577791-0.0000102046270992275i</v>
      </c>
      <c r="BJ558" s="64">
        <f t="shared" si="526"/>
        <v>-83.053472618450002</v>
      </c>
      <c r="BK558" s="61">
        <f t="shared" si="527"/>
        <v>-171.66073366180314</v>
      </c>
      <c r="BL558" s="59" t="str">
        <f t="shared" si="478"/>
        <v>0.0112245638922524-0.000477903917310741i</v>
      </c>
      <c r="BM558" s="64">
        <f t="shared" si="528"/>
        <v>-38.988744848323279</v>
      </c>
      <c r="BN558" s="61">
        <f t="shared" si="479"/>
        <v>-2.437987795903402</v>
      </c>
      <c r="BO558" s="50">
        <f t="shared" si="529"/>
        <v>-83.053472618450002</v>
      </c>
      <c r="BP558" s="61">
        <f t="shared" si="530"/>
        <v>-171.66073366180314</v>
      </c>
    </row>
    <row r="559" spans="14:68" x14ac:dyDescent="0.25">
      <c r="N559" s="11">
        <v>41</v>
      </c>
      <c r="O559" s="51">
        <f t="shared" si="480"/>
        <v>2570395.782768866</v>
      </c>
      <c r="P559" s="49" t="str">
        <f t="shared" si="481"/>
        <v>37.1583961085025</v>
      </c>
      <c r="Q559" s="18" t="str">
        <f t="shared" si="482"/>
        <v>1+12658.7441669001i</v>
      </c>
      <c r="R559" s="18">
        <f t="shared" si="494"/>
        <v>12658.744206398489</v>
      </c>
      <c r="S559" s="18">
        <f t="shared" si="495"/>
        <v>1.5707173300172752</v>
      </c>
      <c r="T559" s="18" t="str">
        <f t="shared" si="483"/>
        <v>1+14.5352457143367i</v>
      </c>
      <c r="U559" s="18">
        <f t="shared" si="496"/>
        <v>14.56960424912576</v>
      </c>
      <c r="V559" s="18">
        <f t="shared" si="497"/>
        <v>1.5021062784511063</v>
      </c>
      <c r="W559" s="32" t="str">
        <f t="shared" si="484"/>
        <v>1-127.225458003092i</v>
      </c>
      <c r="X559" s="18">
        <f t="shared" si="498"/>
        <v>127.22938797344162</v>
      </c>
      <c r="Y559" s="18">
        <f t="shared" si="499"/>
        <v>-1.5629364265600423</v>
      </c>
      <c r="Z559" s="32" t="str">
        <f t="shared" si="485"/>
        <v>-164.173362001899+30.63168448688i</v>
      </c>
      <c r="AA559" s="18">
        <f t="shared" si="500"/>
        <v>167.00656539642486</v>
      </c>
      <c r="AB559" s="18">
        <f t="shared" si="501"/>
        <v>2.957132319452823</v>
      </c>
      <c r="AC559" s="32" t="str">
        <f>IMDIV(IMSUM(COMPLEX(0,2*PI()*O559*Constants!$B$61*Constants!$B$62),COMPLEX(1,0)),IMSUM(COMPLEX(0,2*PI()*O559*Constants!$B$61*Constants!$B$62),COMPLEX(2,0)))</f>
        <v>0.999521221967457+0.0154647918792072i</v>
      </c>
      <c r="AD559" s="18">
        <f t="shared" si="502"/>
        <v>0.9996408519819433</v>
      </c>
      <c r="AE559" s="18">
        <f t="shared" si="503"/>
        <v>1.5470965181207838E-2</v>
      </c>
      <c r="AF559" s="66" t="str">
        <f t="shared" si="504"/>
        <v>-0.00451841628229504+0.0322546211869216i</v>
      </c>
      <c r="AG559" s="64">
        <f t="shared" si="505"/>
        <v>-29.743760389327122</v>
      </c>
      <c r="AH559" s="61">
        <f t="shared" si="506"/>
        <v>97.974435071653488</v>
      </c>
      <c r="AI559" s="50" t="str">
        <f t="shared" si="486"/>
        <v>107.538871525172</v>
      </c>
      <c r="AJ559" s="50" t="str">
        <f t="shared" si="487"/>
        <v>1+12034.0508349217i</v>
      </c>
      <c r="AK559" s="50">
        <f t="shared" si="507"/>
        <v>12034.050876470468</v>
      </c>
      <c r="AL559" s="50">
        <f t="shared" si="508"/>
        <v>1.5707132292568011</v>
      </c>
      <c r="AM559" s="50" t="str">
        <f t="shared" si="488"/>
        <v>1+14.5352457143367i</v>
      </c>
      <c r="AN559" s="50">
        <f t="shared" si="509"/>
        <v>14.56960424912576</v>
      </c>
      <c r="AO559" s="50">
        <f t="shared" si="510"/>
        <v>1.5021062784511063</v>
      </c>
      <c r="AP559" s="50" t="str">
        <f t="shared" si="489"/>
        <v>1-41.7913507693594i</v>
      </c>
      <c r="AQ559" s="50">
        <f t="shared" si="511"/>
        <v>41.80331325538247</v>
      </c>
      <c r="AR559" s="50">
        <f t="shared" si="512"/>
        <v>-1.5468724958804756</v>
      </c>
      <c r="AS559" s="59" t="str">
        <f t="shared" si="513"/>
        <v>-0.24311460714904-5.43723864511082i</v>
      </c>
      <c r="AT559" s="50">
        <f t="shared" si="514"/>
        <v>14.716241828551858</v>
      </c>
      <c r="AU559" s="61">
        <f t="shared" si="515"/>
        <v>-92.560154185247043</v>
      </c>
      <c r="AV559" s="32" t="str">
        <f t="shared" si="490"/>
        <v>-0.0000333333333333333</v>
      </c>
      <c r="AW559" s="32" t="str">
        <f t="shared" si="491"/>
        <v>0.775213104764626i</v>
      </c>
      <c r="AX559" s="32">
        <f t="shared" si="516"/>
        <v>0.77521310476462602</v>
      </c>
      <c r="AY559" s="32">
        <f t="shared" si="517"/>
        <v>1.5707963267948966</v>
      </c>
      <c r="AZ559" s="32" t="str">
        <f t="shared" si="492"/>
        <v>1+316.27617989529i</v>
      </c>
      <c r="BA559" s="32">
        <f t="shared" si="518"/>
        <v>316.27776078813673</v>
      </c>
      <c r="BB559" s="32">
        <f t="shared" si="519"/>
        <v>1.5676345437354258</v>
      </c>
      <c r="BC559" s="32" t="str">
        <f t="shared" si="493"/>
        <v>1+15181.256634974i</v>
      </c>
      <c r="BD559" s="32">
        <f t="shared" si="520"/>
        <v>15181.256667909351</v>
      </c>
      <c r="BE559" s="32">
        <f t="shared" si="521"/>
        <v>1.5707304560950859</v>
      </c>
      <c r="BF559" s="59" t="str">
        <f t="shared" si="522"/>
        <v>-6.38976183888949E-06+0.00206392839395004i</v>
      </c>
      <c r="BG559" s="50">
        <f t="shared" si="523"/>
        <v>-53.706065858648017</v>
      </c>
      <c r="BH559" s="61">
        <f t="shared" si="524"/>
        <v>90.177382711950898</v>
      </c>
      <c r="BI559" s="59" t="str">
        <f t="shared" si="525"/>
        <v>-0.0000665423568998572-9.53178700830294E-06i</v>
      </c>
      <c r="BJ559" s="64">
        <f t="shared" si="526"/>
        <v>-83.449826247975153</v>
      </c>
      <c r="BK559" s="61">
        <f t="shared" si="527"/>
        <v>-171.8481822163956</v>
      </c>
      <c r="BL559" s="59" t="str">
        <f t="shared" si="478"/>
        <v>0.0112236246687659-0.000467028480675449i</v>
      </c>
      <c r="BM559" s="64">
        <f t="shared" si="528"/>
        <v>-38.989824030096166</v>
      </c>
      <c r="BN559" s="61">
        <f t="shared" si="479"/>
        <v>-2.3827714732961436</v>
      </c>
      <c r="BO559" s="50">
        <f t="shared" si="529"/>
        <v>-83.449826247975153</v>
      </c>
      <c r="BP559" s="61">
        <f t="shared" si="530"/>
        <v>-171.8481822163956</v>
      </c>
    </row>
    <row r="560" spans="14:68" ht="15.75" thickBot="1" x14ac:dyDescent="0.3">
      <c r="N560" s="11">
        <v>42</v>
      </c>
      <c r="O560" s="51">
        <f t="shared" si="480"/>
        <v>2630267.9918953842</v>
      </c>
      <c r="P560" s="49" t="str">
        <f t="shared" si="481"/>
        <v>37.1583961085025</v>
      </c>
      <c r="Q560" s="18" t="str">
        <f t="shared" si="482"/>
        <v>1+12953.6041970637i</v>
      </c>
      <c r="R560" s="18">
        <f t="shared" si="494"/>
        <v>12953.604235662995</v>
      </c>
      <c r="S560" s="18">
        <f t="shared" si="495"/>
        <v>1.570719128203462</v>
      </c>
      <c r="T560" s="18" t="str">
        <f t="shared" si="483"/>
        <v>1+14.8738150805596i</v>
      </c>
      <c r="U560" s="18">
        <f t="shared" si="496"/>
        <v>14.90739330167022</v>
      </c>
      <c r="V560" s="18">
        <f t="shared" si="497"/>
        <v>1.5036651070737541</v>
      </c>
      <c r="W560" s="32" t="str">
        <f t="shared" si="484"/>
        <v>1-130.188919614273i</v>
      </c>
      <c r="X560" s="18">
        <f t="shared" si="498"/>
        <v>130.19276013024552</v>
      </c>
      <c r="Y560" s="18">
        <f t="shared" si="499"/>
        <v>-1.5631153326135572</v>
      </c>
      <c r="Z560" s="32" t="str">
        <f t="shared" si="485"/>
        <v>-171.957742729734+31.3451880771793i</v>
      </c>
      <c r="AA560" s="18">
        <f t="shared" si="500"/>
        <v>174.79126437067481</v>
      </c>
      <c r="AB560" s="18">
        <f t="shared" si="501"/>
        <v>2.9612880373274559</v>
      </c>
      <c r="AC560" s="32" t="str">
        <f>IMDIV(IMSUM(COMPLEX(0,2*PI()*O560*Constants!$B$61*Constants!$B$62),COMPLEX(1,0)),IMSUM(COMPLEX(0,2*PI()*O560*Constants!$B$61*Constants!$B$62),COMPLEX(2,0)))</f>
        <v>0.999542750822447+0.0151134215836737i</v>
      </c>
      <c r="AD560" s="18">
        <f t="shared" si="502"/>
        <v>0.99965700429380799</v>
      </c>
      <c r="AE560" s="18">
        <f t="shared" si="503"/>
        <v>1.5119183209371733E-2</v>
      </c>
      <c r="AF560" s="66" t="str">
        <f t="shared" si="504"/>
        <v>-0.00431863568222082+0.0315467303237762i</v>
      </c>
      <c r="AG560" s="65">
        <f t="shared" si="505"/>
        <v>-29.940276617148616</v>
      </c>
      <c r="AH560" s="63">
        <f t="shared" si="506"/>
        <v>97.795135065081837</v>
      </c>
      <c r="AI560" s="50" t="str">
        <f t="shared" si="486"/>
        <v>107.538871525172</v>
      </c>
      <c r="AJ560" s="50" t="str">
        <f t="shared" si="487"/>
        <v>1+12314.3598881257i</v>
      </c>
      <c r="AK560" s="50">
        <f t="shared" si="507"/>
        <v>12314.359928728703</v>
      </c>
      <c r="AL560" s="50">
        <f t="shared" si="508"/>
        <v>1.5707151207876915</v>
      </c>
      <c r="AM560" s="50" t="str">
        <f t="shared" si="488"/>
        <v>1+14.8738150805596i</v>
      </c>
      <c r="AN560" s="50">
        <f t="shared" si="509"/>
        <v>14.90739330167022</v>
      </c>
      <c r="AO560" s="50">
        <f t="shared" si="510"/>
        <v>1.5036651070737541</v>
      </c>
      <c r="AP560" s="50" t="str">
        <f t="shared" si="489"/>
        <v>1-42.7647963802323i</v>
      </c>
      <c r="AQ560" s="50">
        <f t="shared" si="511"/>
        <v>42.776486642111337</v>
      </c>
      <c r="AR560" s="50">
        <f t="shared" si="512"/>
        <v>-1.5474168680276137</v>
      </c>
      <c r="AS560" s="62" t="str">
        <f t="shared" si="513"/>
        <v>-0.24311464064609-5.56347570817636i</v>
      </c>
      <c r="AT560" s="56">
        <f t="shared" si="514"/>
        <v>14.915209061994492</v>
      </c>
      <c r="AU560" s="63">
        <f t="shared" si="515"/>
        <v>-92.502138487437449</v>
      </c>
      <c r="AV560" s="32" t="str">
        <f t="shared" si="490"/>
        <v>-0.0000333333333333333</v>
      </c>
      <c r="AW560" s="32" t="str">
        <f t="shared" si="491"/>
        <v>0.793270137629848i</v>
      </c>
      <c r="AX560" s="32">
        <f t="shared" si="516"/>
        <v>0.79327013762984799</v>
      </c>
      <c r="AY560" s="32">
        <f t="shared" si="517"/>
        <v>1.5707963267948966</v>
      </c>
      <c r="AZ560" s="32" t="str">
        <f t="shared" si="492"/>
        <v>1+323.643198512177i</v>
      </c>
      <c r="BA560" s="32">
        <f t="shared" si="518"/>
        <v>323.64474341968292</v>
      </c>
      <c r="BB560" s="32">
        <f t="shared" si="519"/>
        <v>1.5677065142411919</v>
      </c>
      <c r="BC560" s="32" t="str">
        <f t="shared" si="493"/>
        <v>1+15534.8735285845i</v>
      </c>
      <c r="BD560" s="32">
        <f t="shared" si="520"/>
        <v>15534.873560770147</v>
      </c>
      <c r="BE560" s="32">
        <f t="shared" si="521"/>
        <v>1.5707319554952668</v>
      </c>
      <c r="BF560" s="62" t="str">
        <f t="shared" si="522"/>
        <v>-6.10217792814639E-06+0.00201694853653872i</v>
      </c>
      <c r="BG560" s="56">
        <f t="shared" si="523"/>
        <v>-53.906063905466496</v>
      </c>
      <c r="BH560" s="63">
        <f t="shared" si="524"/>
        <v>90.173345015023273</v>
      </c>
      <c r="BI560" s="62" t="str">
        <f t="shared" si="525"/>
        <v>-0.0000636017784757823-8.90296968058611E-06i</v>
      </c>
      <c r="BJ560" s="65">
        <f t="shared" si="526"/>
        <v>-83.846340522615108</v>
      </c>
      <c r="BK560" s="63">
        <f t="shared" si="527"/>
        <v>-172.03151991989489</v>
      </c>
      <c r="BL560" s="62" t="str">
        <f t="shared" si="478"/>
        <v>0.0112227277164692-0.000456400399992056i</v>
      </c>
      <c r="BM560" s="65">
        <f t="shared" si="528"/>
        <v>-38.990854843471993</v>
      </c>
      <c r="BN560" s="63">
        <f t="shared" si="479"/>
        <v>-2.3287934724141905</v>
      </c>
      <c r="BO560" s="56">
        <f t="shared" si="529"/>
        <v>-83.846340522615108</v>
      </c>
      <c r="BP560" s="63">
        <f t="shared" si="530"/>
        <v>-172.03151991989489</v>
      </c>
    </row>
    <row r="561" spans="14:34" x14ac:dyDescent="0.25">
      <c r="N561" s="11"/>
      <c r="P561" s="49"/>
      <c r="Q561" s="18"/>
      <c r="R561" s="18"/>
      <c r="S561" s="18"/>
      <c r="T561" s="18"/>
      <c r="U561" s="18"/>
      <c r="V561" s="18"/>
      <c r="W561" s="32"/>
      <c r="X561" s="18"/>
      <c r="Y561" s="18"/>
      <c r="Z561" s="32"/>
      <c r="AA561" s="18"/>
      <c r="AB561" s="18"/>
      <c r="AC561" s="18"/>
      <c r="AD561" s="18"/>
      <c r="AE561" s="18"/>
      <c r="AF561" s="18"/>
      <c r="AG561" s="33"/>
      <c r="AH561" s="32"/>
    </row>
    <row r="562" spans="14:34" x14ac:dyDescent="0.25">
      <c r="N562" s="11"/>
      <c r="P562" s="49"/>
      <c r="Q562" s="18"/>
      <c r="R562" s="18"/>
      <c r="S562" s="18"/>
      <c r="T562" s="18"/>
      <c r="U562" s="18"/>
      <c r="V562" s="18"/>
      <c r="W562" s="32"/>
      <c r="X562" s="18"/>
      <c r="Y562" s="18"/>
      <c r="Z562" s="32"/>
      <c r="AA562" s="18"/>
      <c r="AB562" s="18"/>
      <c r="AC562" s="18"/>
      <c r="AD562" s="18"/>
      <c r="AE562" s="18"/>
      <c r="AF562" s="18"/>
      <c r="AG562" s="33"/>
      <c r="AH562" s="32"/>
    </row>
    <row r="563" spans="14:34" x14ac:dyDescent="0.25">
      <c r="N563" s="11"/>
      <c r="P563" s="49"/>
      <c r="Q563" s="18"/>
      <c r="R563" s="18"/>
      <c r="S563" s="18"/>
      <c r="T563" s="18"/>
      <c r="U563" s="18"/>
      <c r="V563" s="18"/>
      <c r="W563" s="32"/>
      <c r="X563" s="18"/>
      <c r="Y563" s="18"/>
      <c r="Z563" s="32"/>
      <c r="AA563" s="18"/>
      <c r="AB563" s="18"/>
      <c r="AC563" s="18"/>
      <c r="AD563" s="18"/>
      <c r="AE563" s="18"/>
      <c r="AF563" s="18"/>
      <c r="AG563" s="33"/>
      <c r="AH563" s="32"/>
    </row>
    <row r="564" spans="14:34" x14ac:dyDescent="0.25">
      <c r="N564" s="11"/>
      <c r="P564" s="49"/>
      <c r="Q564" s="18"/>
      <c r="R564" s="18"/>
      <c r="S564" s="18"/>
      <c r="T564" s="18"/>
      <c r="U564" s="18"/>
      <c r="V564" s="18"/>
      <c r="W564" s="32"/>
      <c r="X564" s="18"/>
      <c r="Y564" s="18"/>
      <c r="Z564" s="32"/>
      <c r="AA564" s="18"/>
      <c r="AB564" s="18"/>
      <c r="AC564" s="18"/>
      <c r="AD564" s="18"/>
      <c r="AE564" s="18"/>
      <c r="AF564" s="18"/>
      <c r="AG564" s="33"/>
      <c r="AH564" s="32"/>
    </row>
    <row r="565" spans="14:34" x14ac:dyDescent="0.25">
      <c r="N565" s="11"/>
      <c r="P565" s="49"/>
      <c r="Q565" s="18"/>
      <c r="R565" s="18"/>
      <c r="S565" s="18"/>
      <c r="T565" s="18"/>
      <c r="U565" s="18"/>
      <c r="V565" s="18"/>
      <c r="W565" s="32"/>
      <c r="X565" s="18"/>
      <c r="Y565" s="18"/>
      <c r="Z565" s="32"/>
      <c r="AA565" s="18"/>
      <c r="AB565" s="18"/>
      <c r="AC565" s="18"/>
      <c r="AD565" s="18"/>
      <c r="AE565" s="18"/>
      <c r="AF565" s="18"/>
      <c r="AG565" s="33"/>
      <c r="AH565" s="32"/>
    </row>
    <row r="566" spans="14:34" x14ac:dyDescent="0.25">
      <c r="N566" s="11"/>
      <c r="P566" s="49"/>
      <c r="Q566" s="18"/>
      <c r="R566" s="18"/>
      <c r="S566" s="18"/>
      <c r="T566" s="18"/>
      <c r="U566" s="18"/>
      <c r="V566" s="18"/>
      <c r="W566" s="32"/>
      <c r="X566" s="18"/>
      <c r="Y566" s="18"/>
      <c r="Z566" s="32"/>
      <c r="AA566" s="18"/>
      <c r="AB566" s="18"/>
      <c r="AC566" s="18"/>
      <c r="AD566" s="18"/>
      <c r="AE566" s="18"/>
      <c r="AF566" s="18"/>
      <c r="AG566" s="33"/>
      <c r="AH566" s="32"/>
    </row>
    <row r="567" spans="14:34" x14ac:dyDescent="0.25">
      <c r="N567" s="11"/>
      <c r="P567" s="49"/>
      <c r="Q567" s="18"/>
      <c r="R567" s="18"/>
      <c r="S567" s="18"/>
      <c r="T567" s="18"/>
      <c r="U567" s="18"/>
      <c r="V567" s="18"/>
      <c r="W567" s="32"/>
      <c r="X567" s="18"/>
      <c r="Y567" s="18"/>
      <c r="Z567" s="32"/>
      <c r="AA567" s="18"/>
      <c r="AB567" s="18"/>
      <c r="AC567" s="18"/>
      <c r="AD567" s="18"/>
      <c r="AE567" s="18"/>
      <c r="AF567" s="18"/>
      <c r="AG567" s="33"/>
      <c r="AH567" s="32"/>
    </row>
    <row r="568" spans="14:34" x14ac:dyDescent="0.25">
      <c r="N568" s="11"/>
      <c r="P568" s="49"/>
      <c r="Q568" s="18"/>
      <c r="R568" s="18"/>
      <c r="S568" s="18"/>
      <c r="T568" s="18"/>
      <c r="U568" s="18"/>
      <c r="V568" s="18"/>
      <c r="W568" s="32"/>
      <c r="X568" s="18"/>
      <c r="Y568" s="18"/>
      <c r="Z568" s="32"/>
      <c r="AA568" s="18"/>
      <c r="AB568" s="18"/>
      <c r="AC568" s="18"/>
      <c r="AD568" s="18"/>
      <c r="AE568" s="18"/>
      <c r="AF568" s="18"/>
      <c r="AG568" s="33"/>
      <c r="AH568" s="32"/>
    </row>
    <row r="569" spans="14:34" x14ac:dyDescent="0.25">
      <c r="N569" s="11"/>
      <c r="P569" s="49"/>
      <c r="Q569" s="18"/>
      <c r="R569" s="18"/>
      <c r="S569" s="18"/>
      <c r="T569" s="18"/>
      <c r="U569" s="18"/>
      <c r="V569" s="18"/>
      <c r="W569" s="32"/>
      <c r="X569" s="18"/>
      <c r="Y569" s="18"/>
      <c r="Z569" s="32"/>
      <c r="AA569" s="18"/>
      <c r="AB569" s="18"/>
      <c r="AC569" s="18"/>
      <c r="AD569" s="18"/>
      <c r="AE569" s="18"/>
      <c r="AF569" s="18"/>
      <c r="AG569" s="33"/>
      <c r="AH569" s="32"/>
    </row>
    <row r="570" spans="14:34" x14ac:dyDescent="0.25">
      <c r="N570" s="11"/>
      <c r="P570" s="49"/>
      <c r="Q570" s="18"/>
      <c r="R570" s="18"/>
      <c r="S570" s="18"/>
      <c r="T570" s="18"/>
      <c r="U570" s="18"/>
      <c r="V570" s="18"/>
      <c r="W570" s="32"/>
      <c r="X570" s="18"/>
      <c r="Y570" s="18"/>
      <c r="Z570" s="32"/>
      <c r="AA570" s="18"/>
      <c r="AB570" s="18"/>
      <c r="AC570" s="18"/>
      <c r="AD570" s="18"/>
      <c r="AE570" s="18"/>
      <c r="AF570" s="18"/>
      <c r="AG570" s="33"/>
      <c r="AH570" s="32"/>
    </row>
    <row r="571" spans="14:34" x14ac:dyDescent="0.25">
      <c r="N571" s="11"/>
      <c r="P571" s="49"/>
      <c r="Q571" s="18"/>
      <c r="R571" s="18"/>
      <c r="S571" s="18"/>
      <c r="T571" s="18"/>
      <c r="U571" s="18"/>
      <c r="V571" s="18"/>
      <c r="W571" s="32"/>
      <c r="X571" s="18"/>
      <c r="Y571" s="18"/>
      <c r="Z571" s="32"/>
      <c r="AA571" s="18"/>
      <c r="AB571" s="18"/>
      <c r="AC571" s="18"/>
      <c r="AD571" s="18"/>
      <c r="AE571" s="18"/>
      <c r="AF571" s="18"/>
      <c r="AG571" s="33"/>
      <c r="AH571" s="32"/>
    </row>
    <row r="572" spans="14:34" x14ac:dyDescent="0.25">
      <c r="N572" s="11"/>
      <c r="P572" s="49"/>
      <c r="Q572" s="18"/>
      <c r="R572" s="18"/>
      <c r="S572" s="18"/>
      <c r="T572" s="18"/>
      <c r="U572" s="18"/>
      <c r="V572" s="18"/>
      <c r="W572" s="32"/>
      <c r="X572" s="18"/>
      <c r="Y572" s="18"/>
      <c r="Z572" s="32"/>
      <c r="AA572" s="18"/>
      <c r="AB572" s="18"/>
      <c r="AC572" s="18"/>
      <c r="AD572" s="18"/>
      <c r="AE572" s="18"/>
      <c r="AF572" s="18"/>
      <c r="AG572" s="33"/>
      <c r="AH572" s="32"/>
    </row>
    <row r="573" spans="14:34" x14ac:dyDescent="0.25">
      <c r="N573" s="11"/>
      <c r="P573" s="49"/>
      <c r="Q573" s="18"/>
      <c r="R573" s="18"/>
      <c r="S573" s="18"/>
      <c r="T573" s="18"/>
      <c r="U573" s="18"/>
      <c r="V573" s="18"/>
      <c r="W573" s="32"/>
      <c r="X573" s="18"/>
      <c r="Y573" s="18"/>
      <c r="Z573" s="32"/>
      <c r="AA573" s="18"/>
      <c r="AB573" s="18"/>
      <c r="AC573" s="18"/>
      <c r="AD573" s="18"/>
      <c r="AE573" s="18"/>
      <c r="AF573" s="18"/>
      <c r="AG573" s="33"/>
      <c r="AH573" s="32"/>
    </row>
    <row r="574" spans="14:34" x14ac:dyDescent="0.25">
      <c r="N574" s="11"/>
      <c r="P574" s="49"/>
      <c r="Q574" s="18"/>
      <c r="R574" s="18"/>
      <c r="S574" s="18"/>
      <c r="T574" s="18"/>
      <c r="U574" s="18"/>
      <c r="V574" s="18"/>
      <c r="W574" s="32"/>
      <c r="X574" s="18"/>
      <c r="Y574" s="18"/>
      <c r="Z574" s="32"/>
      <c r="AA574" s="18"/>
      <c r="AB574" s="18"/>
      <c r="AC574" s="18"/>
      <c r="AD574" s="18"/>
      <c r="AE574" s="18"/>
      <c r="AF574" s="18"/>
      <c r="AG574" s="33"/>
      <c r="AH574" s="32"/>
    </row>
    <row r="575" spans="14:34" x14ac:dyDescent="0.25">
      <c r="N575" s="11"/>
      <c r="P575" s="49"/>
      <c r="Q575" s="18"/>
      <c r="R575" s="18"/>
      <c r="S575" s="18"/>
      <c r="T575" s="18"/>
      <c r="U575" s="18"/>
      <c r="V575" s="18"/>
      <c r="W575" s="32"/>
      <c r="X575" s="18"/>
      <c r="Y575" s="18"/>
      <c r="Z575" s="32"/>
      <c r="AA575" s="18"/>
      <c r="AB575" s="18"/>
      <c r="AC575" s="18"/>
      <c r="AD575" s="18"/>
      <c r="AE575" s="18"/>
      <c r="AF575" s="18"/>
      <c r="AG575" s="33"/>
      <c r="AH575" s="32"/>
    </row>
    <row r="576" spans="14:34" x14ac:dyDescent="0.25">
      <c r="N576" s="11"/>
      <c r="P576" s="49"/>
      <c r="Q576" s="18"/>
      <c r="R576" s="18"/>
      <c r="S576" s="18"/>
      <c r="T576" s="18"/>
      <c r="U576" s="18"/>
      <c r="V576" s="18"/>
      <c r="W576" s="32"/>
      <c r="X576" s="18"/>
      <c r="Y576" s="18"/>
      <c r="Z576" s="32"/>
      <c r="AA576" s="18"/>
      <c r="AB576" s="18"/>
      <c r="AC576" s="18"/>
      <c r="AD576" s="18"/>
      <c r="AE576" s="18"/>
      <c r="AF576" s="18"/>
      <c r="AG576" s="33"/>
      <c r="AH576" s="32"/>
    </row>
    <row r="577" spans="14:34" x14ac:dyDescent="0.25">
      <c r="N577" s="11"/>
      <c r="P577" s="49"/>
      <c r="Q577" s="18"/>
      <c r="R577" s="18"/>
      <c r="S577" s="18"/>
      <c r="T577" s="18"/>
      <c r="U577" s="18"/>
      <c r="V577" s="18"/>
      <c r="W577" s="32"/>
      <c r="X577" s="18"/>
      <c r="Y577" s="18"/>
      <c r="Z577" s="32"/>
      <c r="AA577" s="18"/>
      <c r="AB577" s="18"/>
      <c r="AC577" s="18"/>
      <c r="AD577" s="18"/>
      <c r="AE577" s="18"/>
      <c r="AF577" s="18"/>
      <c r="AG577" s="33"/>
      <c r="AH577" s="32"/>
    </row>
    <row r="578" spans="14:34" x14ac:dyDescent="0.25">
      <c r="N578" s="11"/>
      <c r="P578" s="49"/>
      <c r="Q578" s="18"/>
      <c r="R578" s="18"/>
      <c r="S578" s="18"/>
      <c r="T578" s="18"/>
      <c r="U578" s="18"/>
      <c r="V578" s="18"/>
      <c r="W578" s="32"/>
      <c r="X578" s="18"/>
      <c r="Y578" s="18"/>
      <c r="Z578" s="32"/>
      <c r="AA578" s="18"/>
      <c r="AB578" s="18"/>
      <c r="AC578" s="18"/>
      <c r="AD578" s="18"/>
      <c r="AE578" s="18"/>
      <c r="AF578" s="18"/>
      <c r="AG578" s="33"/>
      <c r="AH578" s="32"/>
    </row>
    <row r="579" spans="14:34" x14ac:dyDescent="0.25">
      <c r="N579" s="11"/>
      <c r="P579" s="49"/>
      <c r="Q579" s="18"/>
      <c r="R579" s="18"/>
      <c r="S579" s="18"/>
      <c r="T579" s="18"/>
      <c r="U579" s="18"/>
      <c r="V579" s="18"/>
      <c r="W579" s="32"/>
      <c r="X579" s="18"/>
      <c r="Y579" s="18"/>
      <c r="Z579" s="32"/>
      <c r="AA579" s="18"/>
      <c r="AB579" s="18"/>
      <c r="AC579" s="18"/>
      <c r="AD579" s="18"/>
      <c r="AE579" s="18"/>
      <c r="AF579" s="18"/>
      <c r="AG579" s="33"/>
      <c r="AH579" s="32"/>
    </row>
    <row r="580" spans="14:34" x14ac:dyDescent="0.25">
      <c r="N580" s="11"/>
      <c r="P580" s="49"/>
      <c r="Q580" s="18"/>
      <c r="R580" s="18"/>
      <c r="S580" s="18"/>
      <c r="T580" s="18"/>
      <c r="U580" s="18"/>
      <c r="V580" s="18"/>
      <c r="W580" s="32"/>
      <c r="X580" s="18"/>
      <c r="Y580" s="18"/>
      <c r="Z580" s="32"/>
      <c r="AA580" s="18"/>
      <c r="AB580" s="18"/>
      <c r="AC580" s="18"/>
      <c r="AD580" s="18"/>
      <c r="AE580" s="18"/>
      <c r="AF580" s="18"/>
      <c r="AG580" s="33"/>
      <c r="AH580" s="32"/>
    </row>
    <row r="581" spans="14:34" x14ac:dyDescent="0.25">
      <c r="N581" s="11"/>
      <c r="P581" s="49"/>
      <c r="Q581" s="18"/>
      <c r="R581" s="18"/>
      <c r="S581" s="18"/>
      <c r="T581" s="18"/>
      <c r="U581" s="18"/>
      <c r="V581" s="18"/>
      <c r="W581" s="32"/>
      <c r="X581" s="18"/>
      <c r="Y581" s="18"/>
      <c r="Z581" s="32"/>
      <c r="AA581" s="18"/>
      <c r="AB581" s="18"/>
      <c r="AC581" s="18"/>
      <c r="AD581" s="18"/>
      <c r="AE581" s="18"/>
      <c r="AF581" s="18"/>
      <c r="AG581" s="33"/>
      <c r="AH581" s="32"/>
    </row>
    <row r="582" spans="14:34" x14ac:dyDescent="0.25">
      <c r="N582" s="11"/>
      <c r="P582" s="49"/>
      <c r="Q582" s="18"/>
      <c r="R582" s="18"/>
      <c r="S582" s="18"/>
      <c r="T582" s="18"/>
      <c r="U582" s="18"/>
      <c r="V582" s="18"/>
      <c r="W582" s="32"/>
      <c r="X582" s="18"/>
      <c r="Y582" s="18"/>
      <c r="Z582" s="32"/>
      <c r="AA582" s="18"/>
      <c r="AB582" s="18"/>
      <c r="AC582" s="18"/>
      <c r="AD582" s="18"/>
      <c r="AE582" s="18"/>
      <c r="AF582" s="18"/>
      <c r="AG582" s="33"/>
      <c r="AH582" s="32"/>
    </row>
    <row r="583" spans="14:34" x14ac:dyDescent="0.25">
      <c r="N583" s="11"/>
      <c r="P583" s="49"/>
      <c r="Q583" s="18"/>
      <c r="R583" s="18"/>
      <c r="S583" s="18"/>
      <c r="T583" s="18"/>
      <c r="U583" s="18"/>
      <c r="V583" s="18"/>
      <c r="W583" s="32"/>
      <c r="X583" s="18"/>
      <c r="Y583" s="18"/>
      <c r="Z583" s="32"/>
      <c r="AA583" s="18"/>
      <c r="AB583" s="18"/>
      <c r="AC583" s="18"/>
      <c r="AD583" s="18"/>
      <c r="AE583" s="18"/>
      <c r="AF583" s="18"/>
      <c r="AG583" s="33"/>
      <c r="AH583" s="32"/>
    </row>
    <row r="584" spans="14:34" x14ac:dyDescent="0.25">
      <c r="N584" s="11"/>
      <c r="P584" s="49"/>
      <c r="Q584" s="18"/>
      <c r="R584" s="18"/>
      <c r="S584" s="18"/>
      <c r="T584" s="18"/>
      <c r="U584" s="18"/>
      <c r="V584" s="18"/>
      <c r="W584" s="32"/>
      <c r="X584" s="18"/>
      <c r="Y584" s="18"/>
      <c r="Z584" s="32"/>
      <c r="AA584" s="18"/>
      <c r="AB584" s="18"/>
      <c r="AC584" s="18"/>
      <c r="AD584" s="18"/>
      <c r="AE584" s="18"/>
      <c r="AF584" s="18"/>
      <c r="AG584" s="33"/>
      <c r="AH584" s="32"/>
    </row>
    <row r="585" spans="14:34" x14ac:dyDescent="0.25">
      <c r="N585" s="11"/>
      <c r="P585" s="49"/>
      <c r="Q585" s="18"/>
      <c r="R585" s="18"/>
      <c r="S585" s="18"/>
      <c r="T585" s="18"/>
      <c r="U585" s="18"/>
      <c r="V585" s="18"/>
      <c r="W585" s="32"/>
      <c r="X585" s="18"/>
      <c r="Y585" s="18"/>
      <c r="Z585" s="32"/>
      <c r="AA585" s="18"/>
      <c r="AB585" s="18"/>
      <c r="AC585" s="18"/>
      <c r="AD585" s="18"/>
      <c r="AE585" s="18"/>
      <c r="AF585" s="18"/>
      <c r="AG585" s="33"/>
      <c r="AH585" s="32"/>
    </row>
    <row r="586" spans="14:34" x14ac:dyDescent="0.25">
      <c r="N586" s="11"/>
      <c r="P586" s="49"/>
      <c r="Q586" s="18"/>
      <c r="R586" s="18"/>
      <c r="S586" s="18"/>
      <c r="T586" s="18"/>
      <c r="U586" s="18"/>
      <c r="V586" s="18"/>
      <c r="W586" s="32"/>
      <c r="X586" s="18"/>
      <c r="Y586" s="18"/>
      <c r="Z586" s="32"/>
      <c r="AA586" s="18"/>
      <c r="AB586" s="18"/>
      <c r="AC586" s="18"/>
      <c r="AD586" s="18"/>
      <c r="AE586" s="18"/>
      <c r="AF586" s="18"/>
      <c r="AG586" s="33"/>
      <c r="AH586" s="32"/>
    </row>
    <row r="587" spans="14:34" x14ac:dyDescent="0.25">
      <c r="N587" s="11"/>
      <c r="P587" s="49"/>
      <c r="Q587" s="18"/>
      <c r="R587" s="18"/>
      <c r="S587" s="18"/>
      <c r="T587" s="18"/>
      <c r="U587" s="18"/>
      <c r="V587" s="18"/>
      <c r="W587" s="32"/>
      <c r="X587" s="18"/>
      <c r="Y587" s="18"/>
      <c r="Z587" s="32"/>
      <c r="AA587" s="18"/>
      <c r="AB587" s="18"/>
      <c r="AC587" s="18"/>
      <c r="AD587" s="18"/>
      <c r="AE587" s="18"/>
      <c r="AF587" s="18"/>
      <c r="AG587" s="33"/>
      <c r="AH587" s="32"/>
    </row>
    <row r="588" spans="14:34" x14ac:dyDescent="0.25">
      <c r="N588" s="11"/>
      <c r="P588" s="49"/>
      <c r="Q588" s="18"/>
      <c r="R588" s="18"/>
      <c r="S588" s="18"/>
      <c r="T588" s="18"/>
      <c r="U588" s="18"/>
      <c r="V588" s="18"/>
      <c r="W588" s="32"/>
      <c r="X588" s="18"/>
      <c r="Y588" s="18"/>
      <c r="Z588" s="32"/>
      <c r="AA588" s="18"/>
      <c r="AB588" s="18"/>
      <c r="AC588" s="18"/>
      <c r="AD588" s="18"/>
      <c r="AE588" s="18"/>
      <c r="AF588" s="18"/>
      <c r="AG588" s="33"/>
      <c r="AH588" s="32"/>
    </row>
    <row r="589" spans="14:34" x14ac:dyDescent="0.25">
      <c r="N589" s="11"/>
      <c r="P589" s="49"/>
      <c r="Q589" s="18"/>
      <c r="R589" s="18"/>
      <c r="S589" s="18"/>
      <c r="T589" s="18"/>
      <c r="U589" s="18"/>
      <c r="V589" s="18"/>
      <c r="W589" s="32"/>
      <c r="X589" s="18"/>
      <c r="Y589" s="18"/>
      <c r="Z589" s="32"/>
      <c r="AA589" s="18"/>
      <c r="AB589" s="18"/>
      <c r="AC589" s="18"/>
      <c r="AD589" s="18"/>
      <c r="AE589" s="18"/>
      <c r="AF589" s="18"/>
      <c r="AG589" s="33"/>
      <c r="AH589" s="32"/>
    </row>
    <row r="590" spans="14:34" x14ac:dyDescent="0.25">
      <c r="N590" s="11"/>
      <c r="P590" s="49"/>
      <c r="Q590" s="18"/>
      <c r="R590" s="18"/>
      <c r="S590" s="18"/>
      <c r="T590" s="18"/>
      <c r="U590" s="18"/>
      <c r="V590" s="18"/>
      <c r="W590" s="32"/>
      <c r="X590" s="18"/>
      <c r="Y590" s="18"/>
      <c r="Z590" s="32"/>
      <c r="AA590" s="18"/>
      <c r="AB590" s="18"/>
      <c r="AC590" s="18"/>
      <c r="AD590" s="18"/>
      <c r="AE590" s="18"/>
      <c r="AF590" s="18"/>
      <c r="AG590" s="33"/>
      <c r="AH590" s="32"/>
    </row>
    <row r="591" spans="14:34" x14ac:dyDescent="0.25">
      <c r="N591" s="11"/>
      <c r="P591" s="49"/>
      <c r="Q591" s="18"/>
      <c r="R591" s="18"/>
      <c r="S591" s="18"/>
      <c r="T591" s="18"/>
      <c r="U591" s="18"/>
      <c r="V591" s="18"/>
      <c r="W591" s="32"/>
      <c r="X591" s="18"/>
      <c r="Y591" s="18"/>
      <c r="Z591" s="32"/>
      <c r="AA591" s="18"/>
      <c r="AB591" s="18"/>
      <c r="AC591" s="18"/>
      <c r="AD591" s="18"/>
      <c r="AE591" s="18"/>
      <c r="AF591" s="18"/>
      <c r="AG591" s="33"/>
      <c r="AH591" s="32"/>
    </row>
    <row r="592" spans="14:34" x14ac:dyDescent="0.25">
      <c r="N592" s="11"/>
      <c r="P592" s="49"/>
      <c r="Q592" s="18"/>
      <c r="R592" s="18"/>
      <c r="S592" s="18"/>
      <c r="T592" s="18"/>
      <c r="U592" s="18"/>
      <c r="V592" s="18"/>
      <c r="W592" s="32"/>
      <c r="X592" s="18"/>
      <c r="Y592" s="18"/>
      <c r="Z592" s="32"/>
      <c r="AA592" s="18"/>
      <c r="AB592" s="18"/>
      <c r="AC592" s="18"/>
      <c r="AD592" s="18"/>
      <c r="AE592" s="18"/>
      <c r="AF592" s="18"/>
      <c r="AG592" s="33"/>
      <c r="AH592" s="32"/>
    </row>
    <row r="593" spans="14:34" x14ac:dyDescent="0.25">
      <c r="N593" s="11"/>
      <c r="P593" s="49"/>
      <c r="Q593" s="18"/>
      <c r="R593" s="18"/>
      <c r="S593" s="18"/>
      <c r="T593" s="18"/>
      <c r="U593" s="18"/>
      <c r="V593" s="18"/>
      <c r="W593" s="32"/>
      <c r="X593" s="18"/>
      <c r="Y593" s="18"/>
      <c r="Z593" s="32"/>
      <c r="AA593" s="18"/>
      <c r="AB593" s="18"/>
      <c r="AC593" s="18"/>
      <c r="AD593" s="18"/>
      <c r="AE593" s="18"/>
      <c r="AF593" s="18"/>
      <c r="AG593" s="33"/>
      <c r="AH593" s="32"/>
    </row>
    <row r="594" spans="14:34" x14ac:dyDescent="0.25">
      <c r="N594" s="11"/>
      <c r="P594" s="49"/>
      <c r="Q594" s="18"/>
      <c r="R594" s="18"/>
      <c r="S594" s="18"/>
      <c r="T594" s="18"/>
      <c r="U594" s="18"/>
      <c r="V594" s="18"/>
      <c r="W594" s="32"/>
      <c r="X594" s="18"/>
      <c r="Y594" s="18"/>
      <c r="Z594" s="32"/>
      <c r="AA594" s="18"/>
      <c r="AB594" s="18"/>
      <c r="AC594" s="18"/>
      <c r="AD594" s="18"/>
      <c r="AE594" s="18"/>
      <c r="AF594" s="18"/>
      <c r="AG594" s="33"/>
      <c r="AH594" s="32"/>
    </row>
    <row r="595" spans="14:34" x14ac:dyDescent="0.25">
      <c r="N595" s="11"/>
      <c r="P595" s="49"/>
      <c r="Q595" s="18"/>
      <c r="R595" s="18"/>
      <c r="S595" s="18"/>
      <c r="T595" s="18"/>
      <c r="U595" s="18"/>
      <c r="V595" s="18"/>
      <c r="W595" s="32"/>
      <c r="X595" s="18"/>
      <c r="Y595" s="18"/>
      <c r="Z595" s="32"/>
      <c r="AA595" s="18"/>
      <c r="AB595" s="18"/>
      <c r="AC595" s="18"/>
      <c r="AD595" s="18"/>
      <c r="AE595" s="18"/>
      <c r="AF595" s="18"/>
      <c r="AG595" s="33"/>
      <c r="AH595" s="32"/>
    </row>
    <row r="596" spans="14:34" x14ac:dyDescent="0.25">
      <c r="N596" s="11"/>
      <c r="P596" s="49"/>
      <c r="Q596" s="18"/>
      <c r="R596" s="18"/>
      <c r="S596" s="18"/>
      <c r="T596" s="18"/>
      <c r="U596" s="18"/>
      <c r="V596" s="18"/>
      <c r="W596" s="32"/>
      <c r="X596" s="18"/>
      <c r="Y596" s="18"/>
      <c r="Z596" s="32"/>
      <c r="AA596" s="18"/>
      <c r="AB596" s="18"/>
      <c r="AC596" s="18"/>
      <c r="AD596" s="18"/>
      <c r="AE596" s="18"/>
      <c r="AF596" s="18"/>
      <c r="AG596" s="33"/>
      <c r="AH596" s="32"/>
    </row>
    <row r="597" spans="14:34" x14ac:dyDescent="0.25">
      <c r="N597" s="11"/>
      <c r="P597" s="49"/>
      <c r="Q597" s="18"/>
      <c r="R597" s="18"/>
      <c r="S597" s="18"/>
      <c r="T597" s="18"/>
      <c r="U597" s="18"/>
      <c r="V597" s="18"/>
      <c r="W597" s="32"/>
      <c r="X597" s="18"/>
      <c r="Y597" s="18"/>
      <c r="Z597" s="32"/>
      <c r="AA597" s="18"/>
      <c r="AB597" s="18"/>
      <c r="AC597" s="18"/>
      <c r="AD597" s="18"/>
      <c r="AE597" s="18"/>
      <c r="AF597" s="18"/>
      <c r="AG597" s="33"/>
      <c r="AH597" s="32"/>
    </row>
    <row r="598" spans="14:34" x14ac:dyDescent="0.25">
      <c r="N598" s="11"/>
      <c r="P598" s="49"/>
      <c r="Q598" s="18"/>
      <c r="R598" s="18"/>
      <c r="S598" s="18"/>
      <c r="T598" s="18"/>
      <c r="U598" s="18"/>
      <c r="V598" s="18"/>
      <c r="W598" s="32"/>
      <c r="X598" s="18"/>
      <c r="Y598" s="18"/>
      <c r="Z598" s="32"/>
      <c r="AA598" s="18"/>
      <c r="AB598" s="18"/>
      <c r="AC598" s="18"/>
      <c r="AD598" s="18"/>
      <c r="AE598" s="18"/>
      <c r="AF598" s="18"/>
      <c r="AG598" s="33"/>
      <c r="AH598" s="32"/>
    </row>
    <row r="599" spans="14:34" x14ac:dyDescent="0.25">
      <c r="N599" s="11"/>
      <c r="P599" s="49"/>
      <c r="Q599" s="18"/>
      <c r="R599" s="18"/>
      <c r="S599" s="18"/>
      <c r="T599" s="18"/>
      <c r="U599" s="18"/>
      <c r="V599" s="18"/>
      <c r="W599" s="32"/>
      <c r="X599" s="18"/>
      <c r="Y599" s="18"/>
      <c r="Z599" s="32"/>
      <c r="AA599" s="18"/>
      <c r="AB599" s="18"/>
      <c r="AC599" s="18"/>
      <c r="AD599" s="18"/>
      <c r="AE599" s="18"/>
      <c r="AF599" s="18"/>
      <c r="AG599" s="33"/>
      <c r="AH599" s="32"/>
    </row>
    <row r="600" spans="14:34" x14ac:dyDescent="0.25">
      <c r="N600" s="11"/>
      <c r="P600" s="49"/>
      <c r="Q600" s="18"/>
      <c r="R600" s="18"/>
      <c r="S600" s="18"/>
      <c r="T600" s="18"/>
      <c r="U600" s="18"/>
      <c r="V600" s="18"/>
      <c r="W600" s="32"/>
      <c r="X600" s="18"/>
      <c r="Y600" s="18"/>
      <c r="Z600" s="32"/>
      <c r="AA600" s="18"/>
      <c r="AB600" s="18"/>
      <c r="AC600" s="18"/>
      <c r="AD600" s="18"/>
      <c r="AE600" s="18"/>
      <c r="AF600" s="18"/>
      <c r="AG600" s="33"/>
      <c r="AH600" s="32"/>
    </row>
    <row r="601" spans="14:34" x14ac:dyDescent="0.25">
      <c r="N601" s="11"/>
      <c r="P601" s="49"/>
      <c r="Q601" s="18"/>
      <c r="R601" s="18"/>
      <c r="S601" s="18"/>
      <c r="T601" s="18"/>
      <c r="U601" s="18"/>
      <c r="V601" s="18"/>
      <c r="W601" s="32"/>
      <c r="X601" s="18"/>
      <c r="Y601" s="18"/>
      <c r="Z601" s="32"/>
      <c r="AA601" s="18"/>
      <c r="AB601" s="18"/>
      <c r="AC601" s="18"/>
      <c r="AD601" s="18"/>
      <c r="AE601" s="18"/>
      <c r="AF601" s="18"/>
      <c r="AG601" s="33"/>
      <c r="AH601" s="32"/>
    </row>
    <row r="602" spans="14:34" x14ac:dyDescent="0.25">
      <c r="N602" s="11"/>
      <c r="P602" s="49"/>
      <c r="Q602" s="18"/>
      <c r="R602" s="18"/>
      <c r="S602" s="18"/>
      <c r="T602" s="18"/>
      <c r="U602" s="18"/>
      <c r="V602" s="18"/>
      <c r="W602" s="32"/>
      <c r="X602" s="18"/>
      <c r="Y602" s="18"/>
      <c r="Z602" s="32"/>
      <c r="AA602" s="18"/>
      <c r="AB602" s="18"/>
      <c r="AC602" s="18"/>
      <c r="AD602" s="18"/>
      <c r="AE602" s="18"/>
      <c r="AF602" s="18"/>
      <c r="AG602" s="33"/>
      <c r="AH602" s="32"/>
    </row>
    <row r="603" spans="14:34" x14ac:dyDescent="0.25">
      <c r="N603" s="11"/>
      <c r="P603" s="49"/>
      <c r="Q603" s="18"/>
      <c r="R603" s="18"/>
      <c r="S603" s="18"/>
      <c r="T603" s="18"/>
      <c r="U603" s="18"/>
      <c r="V603" s="18"/>
      <c r="W603" s="32"/>
      <c r="X603" s="18"/>
      <c r="Y603" s="18"/>
      <c r="Z603" s="32"/>
      <c r="AA603" s="18"/>
      <c r="AB603" s="18"/>
      <c r="AC603" s="18"/>
      <c r="AD603" s="18"/>
      <c r="AE603" s="18"/>
      <c r="AF603" s="18"/>
      <c r="AG603" s="33"/>
      <c r="AH603" s="32"/>
    </row>
    <row r="604" spans="14:34" x14ac:dyDescent="0.25">
      <c r="N604" s="11"/>
      <c r="P604" s="49"/>
      <c r="Q604" s="18"/>
      <c r="R604" s="18"/>
      <c r="S604" s="18"/>
      <c r="T604" s="18"/>
      <c r="U604" s="18"/>
      <c r="V604" s="18"/>
      <c r="W604" s="32"/>
      <c r="X604" s="18"/>
      <c r="Y604" s="18"/>
      <c r="Z604" s="32"/>
      <c r="AA604" s="18"/>
      <c r="AB604" s="18"/>
      <c r="AC604" s="18"/>
      <c r="AD604" s="18"/>
      <c r="AE604" s="18"/>
      <c r="AF604" s="18"/>
      <c r="AG604" s="33"/>
      <c r="AH604" s="32"/>
    </row>
    <row r="605" spans="14:34" x14ac:dyDescent="0.25">
      <c r="N605" s="11"/>
      <c r="P605" s="49"/>
      <c r="Q605" s="18"/>
      <c r="R605" s="18"/>
      <c r="S605" s="18"/>
      <c r="T605" s="18"/>
      <c r="U605" s="18"/>
      <c r="V605" s="18"/>
      <c r="W605" s="32"/>
      <c r="X605" s="18"/>
      <c r="Y605" s="18"/>
      <c r="Z605" s="32"/>
      <c r="AA605" s="18"/>
      <c r="AB605" s="18"/>
      <c r="AC605" s="18"/>
      <c r="AD605" s="18"/>
      <c r="AE605" s="18"/>
      <c r="AF605" s="18"/>
      <c r="AG605" s="33"/>
      <c r="AH605" s="32"/>
    </row>
    <row r="606" spans="14:34" x14ac:dyDescent="0.25">
      <c r="N606" s="11"/>
      <c r="P606" s="49"/>
      <c r="Q606" s="18"/>
      <c r="R606" s="18"/>
      <c r="S606" s="18"/>
      <c r="T606" s="18"/>
      <c r="U606" s="18"/>
      <c r="V606" s="18"/>
      <c r="W606" s="32"/>
      <c r="X606" s="18"/>
      <c r="Y606" s="18"/>
      <c r="Z606" s="32"/>
      <c r="AA606" s="18"/>
      <c r="AB606" s="18"/>
      <c r="AC606" s="18"/>
      <c r="AD606" s="18"/>
      <c r="AE606" s="18"/>
      <c r="AF606" s="18"/>
      <c r="AG606" s="33"/>
      <c r="AH606" s="32"/>
    </row>
    <row r="607" spans="14:34" x14ac:dyDescent="0.25">
      <c r="N607" s="11"/>
      <c r="P607" s="49"/>
      <c r="Q607" s="18"/>
      <c r="R607" s="18"/>
      <c r="S607" s="18"/>
      <c r="T607" s="18"/>
      <c r="U607" s="18"/>
      <c r="V607" s="18"/>
      <c r="W607" s="32"/>
      <c r="X607" s="18"/>
      <c r="Y607" s="18"/>
      <c r="Z607" s="32"/>
      <c r="AA607" s="18"/>
      <c r="AB607" s="18"/>
      <c r="AC607" s="18"/>
      <c r="AD607" s="18"/>
      <c r="AE607" s="18"/>
      <c r="AF607" s="18"/>
      <c r="AG607" s="33"/>
      <c r="AH607" s="32"/>
    </row>
    <row r="608" spans="14:34" x14ac:dyDescent="0.25">
      <c r="N608" s="11"/>
      <c r="P608" s="49"/>
      <c r="Q608" s="18"/>
      <c r="R608" s="18"/>
      <c r="S608" s="18"/>
      <c r="T608" s="18"/>
      <c r="U608" s="18"/>
      <c r="V608" s="18"/>
      <c r="W608" s="32"/>
      <c r="X608" s="18"/>
      <c r="Y608" s="18"/>
      <c r="Z608" s="32"/>
      <c r="AA608" s="18"/>
      <c r="AB608" s="18"/>
      <c r="AC608" s="18"/>
      <c r="AD608" s="18"/>
      <c r="AE608" s="18"/>
      <c r="AF608" s="18"/>
      <c r="AG608" s="33"/>
      <c r="AH608" s="32"/>
    </row>
    <row r="609" spans="14:34" x14ac:dyDescent="0.25">
      <c r="N609" s="11"/>
      <c r="P609" s="49"/>
      <c r="Q609" s="18"/>
      <c r="R609" s="18"/>
      <c r="S609" s="18"/>
      <c r="T609" s="18"/>
      <c r="U609" s="18"/>
      <c r="V609" s="18"/>
      <c r="W609" s="32"/>
      <c r="X609" s="18"/>
      <c r="Y609" s="18"/>
      <c r="Z609" s="32"/>
      <c r="AA609" s="18"/>
      <c r="AB609" s="18"/>
      <c r="AC609" s="18"/>
      <c r="AD609" s="18"/>
      <c r="AE609" s="18"/>
      <c r="AF609" s="18"/>
      <c r="AG609" s="33"/>
      <c r="AH609" s="32"/>
    </row>
    <row r="610" spans="14:34" x14ac:dyDescent="0.25">
      <c r="N610" s="11"/>
      <c r="P610" s="49"/>
      <c r="Q610" s="18"/>
      <c r="R610" s="18"/>
      <c r="S610" s="18"/>
      <c r="T610" s="18"/>
      <c r="U610" s="18"/>
      <c r="V610" s="18"/>
      <c r="W610" s="32"/>
      <c r="X610" s="18"/>
      <c r="Y610" s="18"/>
      <c r="Z610" s="32"/>
      <c r="AA610" s="18"/>
      <c r="AB610" s="18"/>
      <c r="AC610" s="18"/>
      <c r="AD610" s="18"/>
      <c r="AE610" s="18"/>
      <c r="AF610" s="18"/>
      <c r="AG610" s="33"/>
      <c r="AH610" s="32"/>
    </row>
    <row r="611" spans="14:34" x14ac:dyDescent="0.25">
      <c r="N611" s="11"/>
      <c r="P611" s="49"/>
      <c r="Q611" s="18"/>
      <c r="R611" s="18"/>
      <c r="S611" s="18"/>
      <c r="T611" s="18"/>
      <c r="U611" s="18"/>
      <c r="V611" s="18"/>
      <c r="W611" s="32"/>
      <c r="X611" s="18"/>
      <c r="Y611" s="18"/>
      <c r="Z611" s="32"/>
      <c r="AA611" s="18"/>
      <c r="AB611" s="18"/>
      <c r="AC611" s="18"/>
      <c r="AD611" s="18"/>
      <c r="AE611" s="18"/>
      <c r="AF611" s="18"/>
      <c r="AG611" s="33"/>
      <c r="AH611" s="32"/>
    </row>
    <row r="612" spans="14:34" x14ac:dyDescent="0.25">
      <c r="N612" s="11"/>
      <c r="P612" s="49"/>
      <c r="Q612" s="18"/>
      <c r="R612" s="18"/>
      <c r="S612" s="18"/>
      <c r="T612" s="18"/>
      <c r="U612" s="18"/>
      <c r="V612" s="18"/>
      <c r="W612" s="32"/>
      <c r="X612" s="18"/>
      <c r="Y612" s="18"/>
      <c r="Z612" s="32"/>
      <c r="AA612" s="18"/>
      <c r="AB612" s="18"/>
      <c r="AC612" s="18"/>
      <c r="AD612" s="18"/>
      <c r="AE612" s="18"/>
      <c r="AF612" s="18"/>
      <c r="AG612" s="33"/>
      <c r="AH612" s="32"/>
    </row>
    <row r="613" spans="14:34" x14ac:dyDescent="0.25">
      <c r="N613" s="11"/>
      <c r="P613" s="49"/>
      <c r="Q613" s="18"/>
      <c r="R613" s="18"/>
      <c r="S613" s="18"/>
      <c r="T613" s="18"/>
      <c r="U613" s="18"/>
      <c r="V613" s="18"/>
      <c r="W613" s="32"/>
      <c r="X613" s="18"/>
      <c r="Y613" s="18"/>
      <c r="Z613" s="32"/>
      <c r="AA613" s="18"/>
      <c r="AB613" s="18"/>
      <c r="AC613" s="18"/>
      <c r="AD613" s="18"/>
      <c r="AE613" s="18"/>
      <c r="AF613" s="18"/>
      <c r="AG613" s="33"/>
      <c r="AH613" s="32"/>
    </row>
    <row r="614" spans="14:34" x14ac:dyDescent="0.25">
      <c r="N614" s="11"/>
      <c r="P614" s="49"/>
      <c r="Q614" s="18"/>
      <c r="R614" s="18"/>
      <c r="S614" s="18"/>
      <c r="T614" s="18"/>
      <c r="U614" s="18"/>
      <c r="V614" s="18"/>
      <c r="W614" s="32"/>
      <c r="X614" s="18"/>
      <c r="Y614" s="18"/>
      <c r="Z614" s="32"/>
      <c r="AA614" s="18"/>
      <c r="AB614" s="18"/>
      <c r="AC614" s="18"/>
      <c r="AD614" s="18"/>
      <c r="AE614" s="18"/>
      <c r="AF614" s="18"/>
      <c r="AG614" s="33"/>
      <c r="AH614" s="32"/>
    </row>
    <row r="615" spans="14:34" x14ac:dyDescent="0.25">
      <c r="N615" s="11"/>
      <c r="P615" s="49"/>
      <c r="Q615" s="18"/>
      <c r="R615" s="18"/>
      <c r="S615" s="18"/>
      <c r="T615" s="18"/>
      <c r="U615" s="18"/>
      <c r="V615" s="18"/>
      <c r="W615" s="32"/>
      <c r="X615" s="18"/>
      <c r="Y615" s="18"/>
      <c r="Z615" s="32"/>
      <c r="AA615" s="18"/>
      <c r="AB615" s="18"/>
      <c r="AC615" s="18"/>
      <c r="AD615" s="18"/>
      <c r="AE615" s="18"/>
      <c r="AF615" s="18"/>
      <c r="AG615" s="33"/>
      <c r="AH615" s="32"/>
    </row>
    <row r="616" spans="14:34" x14ac:dyDescent="0.25">
      <c r="N616" s="11"/>
      <c r="P616" s="49"/>
      <c r="Q616" s="18"/>
      <c r="R616" s="18"/>
      <c r="S616" s="18"/>
      <c r="T616" s="18"/>
      <c r="U616" s="18"/>
      <c r="V616" s="18"/>
      <c r="W616" s="32"/>
      <c r="X616" s="18"/>
      <c r="Y616" s="18"/>
      <c r="Z616" s="32"/>
      <c r="AA616" s="18"/>
      <c r="AB616" s="18"/>
      <c r="AC616" s="18"/>
      <c r="AD616" s="18"/>
      <c r="AE616" s="18"/>
      <c r="AF616" s="18"/>
      <c r="AG616" s="33"/>
      <c r="AH616" s="32"/>
    </row>
    <row r="617" spans="14:34" x14ac:dyDescent="0.25">
      <c r="N617" s="11"/>
      <c r="P617" s="49"/>
      <c r="Q617" s="18"/>
      <c r="R617" s="18"/>
      <c r="S617" s="18"/>
      <c r="T617" s="18"/>
      <c r="U617" s="18"/>
      <c r="V617" s="18"/>
      <c r="W617" s="32"/>
      <c r="X617" s="18"/>
      <c r="Y617" s="18"/>
      <c r="Z617" s="32"/>
      <c r="AA617" s="18"/>
      <c r="AB617" s="18"/>
      <c r="AC617" s="18"/>
      <c r="AD617" s="18"/>
      <c r="AE617" s="18"/>
      <c r="AF617" s="18"/>
      <c r="AG617" s="33"/>
      <c r="AH617" s="32"/>
    </row>
    <row r="618" spans="14:34" x14ac:dyDescent="0.25">
      <c r="N618" s="11"/>
      <c r="P618" s="49"/>
      <c r="Q618" s="18"/>
      <c r="R618" s="18"/>
      <c r="S618" s="18"/>
      <c r="T618" s="18"/>
      <c r="U618" s="18"/>
      <c r="V618" s="18"/>
      <c r="W618" s="32"/>
      <c r="X618" s="18"/>
      <c r="Y618" s="18"/>
      <c r="Z618" s="32"/>
      <c r="AA618" s="18"/>
      <c r="AB618" s="18"/>
      <c r="AC618" s="18"/>
      <c r="AD618" s="18"/>
      <c r="AE618" s="18"/>
      <c r="AF618" s="18"/>
      <c r="AG618" s="33"/>
      <c r="AH618" s="32"/>
    </row>
    <row r="619" spans="14:34" x14ac:dyDescent="0.25">
      <c r="N619" s="11"/>
      <c r="P619" s="49"/>
      <c r="Q619" s="18"/>
      <c r="R619" s="18"/>
      <c r="S619" s="18"/>
      <c r="T619" s="18"/>
      <c r="U619" s="18"/>
      <c r="V619" s="18"/>
      <c r="W619" s="32"/>
      <c r="X619" s="18"/>
      <c r="Y619" s="18"/>
      <c r="Z619" s="32"/>
      <c r="AA619" s="18"/>
      <c r="AB619" s="18"/>
      <c r="AC619" s="18"/>
      <c r="AD619" s="18"/>
      <c r="AE619" s="18"/>
      <c r="AF619" s="18"/>
      <c r="AG619" s="33"/>
      <c r="AH619" s="32"/>
    </row>
    <row r="620" spans="14:34" x14ac:dyDescent="0.25">
      <c r="N620" s="11"/>
      <c r="P620" s="49"/>
      <c r="Q620" s="18"/>
      <c r="R620" s="18"/>
      <c r="S620" s="18"/>
      <c r="T620" s="18"/>
      <c r="U620" s="18"/>
      <c r="V620" s="18"/>
      <c r="W620" s="32"/>
      <c r="X620" s="18"/>
      <c r="Y620" s="18"/>
      <c r="Z620" s="32"/>
      <c r="AA620" s="18"/>
      <c r="AB620" s="18"/>
      <c r="AC620" s="18"/>
      <c r="AD620" s="18"/>
      <c r="AE620" s="18"/>
      <c r="AF620" s="18"/>
      <c r="AG620" s="33"/>
      <c r="AH620" s="32"/>
    </row>
    <row r="621" spans="14:34" x14ac:dyDescent="0.25">
      <c r="N621" s="11"/>
      <c r="P621" s="49"/>
      <c r="Q621" s="18"/>
      <c r="R621" s="18"/>
      <c r="S621" s="18"/>
      <c r="T621" s="18"/>
      <c r="U621" s="18"/>
      <c r="V621" s="18"/>
      <c r="W621" s="32"/>
      <c r="X621" s="18"/>
      <c r="Y621" s="18"/>
      <c r="Z621" s="32"/>
      <c r="AA621" s="18"/>
      <c r="AB621" s="18"/>
      <c r="AC621" s="18"/>
      <c r="AD621" s="18"/>
      <c r="AE621" s="18"/>
      <c r="AF621" s="18"/>
      <c r="AG621" s="33"/>
      <c r="AH621" s="32"/>
    </row>
    <row r="622" spans="14:34" x14ac:dyDescent="0.25">
      <c r="N622" s="11"/>
      <c r="P622" s="49"/>
      <c r="Q622" s="18"/>
      <c r="R622" s="18"/>
      <c r="S622" s="18"/>
      <c r="T622" s="18"/>
      <c r="U622" s="18"/>
      <c r="V622" s="18"/>
      <c r="W622" s="32"/>
      <c r="X622" s="18"/>
      <c r="Y622" s="18"/>
      <c r="Z622" s="32"/>
      <c r="AA622" s="18"/>
      <c r="AB622" s="18"/>
      <c r="AC622" s="18"/>
      <c r="AD622" s="18"/>
      <c r="AE622" s="18"/>
      <c r="AF622" s="18"/>
      <c r="AG622" s="33"/>
      <c r="AH622" s="32"/>
    </row>
    <row r="623" spans="14:34" x14ac:dyDescent="0.25">
      <c r="N623" s="11"/>
      <c r="P623" s="49"/>
      <c r="Q623" s="18"/>
      <c r="R623" s="18"/>
      <c r="S623" s="18"/>
      <c r="T623" s="18"/>
      <c r="U623" s="18"/>
      <c r="V623" s="18"/>
      <c r="W623" s="32"/>
      <c r="X623" s="18"/>
      <c r="Y623" s="18"/>
      <c r="Z623" s="32"/>
      <c r="AA623" s="18"/>
      <c r="AB623" s="18"/>
      <c r="AC623" s="18"/>
      <c r="AD623" s="18"/>
      <c r="AE623" s="18"/>
      <c r="AF623" s="18"/>
      <c r="AG623" s="33"/>
      <c r="AH623" s="32"/>
    </row>
    <row r="624" spans="14:34" x14ac:dyDescent="0.25">
      <c r="N624" s="11"/>
      <c r="P624" s="49"/>
      <c r="Q624" s="18"/>
      <c r="R624" s="18"/>
      <c r="S624" s="18"/>
      <c r="T624" s="18"/>
      <c r="U624" s="18"/>
      <c r="V624" s="18"/>
      <c r="W624" s="32"/>
      <c r="X624" s="18"/>
      <c r="Y624" s="18"/>
      <c r="Z624" s="32"/>
      <c r="AA624" s="18"/>
      <c r="AB624" s="18"/>
      <c r="AC624" s="18"/>
      <c r="AD624" s="18"/>
      <c r="AE624" s="18"/>
      <c r="AF624" s="18"/>
      <c r="AG624" s="33"/>
      <c r="AH624" s="32"/>
    </row>
    <row r="625" spans="14:34" x14ac:dyDescent="0.25">
      <c r="N625" s="11"/>
      <c r="P625" s="49"/>
      <c r="Q625" s="18"/>
      <c r="R625" s="18"/>
      <c r="S625" s="18"/>
      <c r="T625" s="18"/>
      <c r="U625" s="18"/>
      <c r="V625" s="18"/>
      <c r="W625" s="32"/>
      <c r="X625" s="18"/>
      <c r="Y625" s="18"/>
      <c r="Z625" s="32"/>
      <c r="AA625" s="18"/>
      <c r="AB625" s="18"/>
      <c r="AC625" s="18"/>
      <c r="AD625" s="18"/>
      <c r="AE625" s="18"/>
      <c r="AF625" s="18"/>
      <c r="AG625" s="33"/>
      <c r="AH625" s="32"/>
    </row>
    <row r="626" spans="14:34" x14ac:dyDescent="0.25">
      <c r="N626" s="11"/>
      <c r="P626" s="49"/>
      <c r="Q626" s="18"/>
      <c r="R626" s="18"/>
      <c r="S626" s="18"/>
      <c r="T626" s="18"/>
      <c r="U626" s="18"/>
      <c r="V626" s="18"/>
      <c r="W626" s="32"/>
      <c r="X626" s="18"/>
      <c r="Y626" s="18"/>
      <c r="Z626" s="32"/>
      <c r="AA626" s="18"/>
      <c r="AB626" s="18"/>
      <c r="AC626" s="18"/>
      <c r="AD626" s="18"/>
      <c r="AE626" s="18"/>
      <c r="AF626" s="18"/>
      <c r="AG626" s="33"/>
      <c r="AH626" s="32"/>
    </row>
    <row r="627" spans="14:34" x14ac:dyDescent="0.25">
      <c r="N627" s="11"/>
      <c r="P627" s="49"/>
      <c r="Q627" s="18"/>
      <c r="R627" s="18"/>
      <c r="S627" s="18"/>
      <c r="T627" s="18"/>
      <c r="U627" s="18"/>
      <c r="V627" s="18"/>
      <c r="W627" s="32"/>
      <c r="X627" s="18"/>
      <c r="Y627" s="18"/>
      <c r="Z627" s="32"/>
      <c r="AA627" s="18"/>
      <c r="AB627" s="18"/>
      <c r="AC627" s="18"/>
      <c r="AD627" s="18"/>
      <c r="AE627" s="18"/>
      <c r="AF627" s="18"/>
      <c r="AG627" s="33"/>
      <c r="AH627" s="32"/>
    </row>
    <row r="628" spans="14:34" x14ac:dyDescent="0.25">
      <c r="N628" s="11"/>
      <c r="P628" s="49"/>
      <c r="Q628" s="18"/>
      <c r="R628" s="18"/>
      <c r="S628" s="18"/>
      <c r="T628" s="18"/>
      <c r="U628" s="18"/>
      <c r="V628" s="18"/>
      <c r="W628" s="32"/>
      <c r="X628" s="18"/>
      <c r="Y628" s="18"/>
      <c r="Z628" s="32"/>
      <c r="AA628" s="18"/>
      <c r="AB628" s="18"/>
      <c r="AC628" s="18"/>
      <c r="AD628" s="18"/>
      <c r="AE628" s="18"/>
      <c r="AF628" s="18"/>
      <c r="AG628" s="33"/>
      <c r="AH628" s="32"/>
    </row>
    <row r="629" spans="14:34" x14ac:dyDescent="0.25">
      <c r="N629" s="11"/>
      <c r="P629" s="49"/>
      <c r="Q629" s="18"/>
      <c r="R629" s="18"/>
      <c r="S629" s="18"/>
      <c r="T629" s="18"/>
      <c r="U629" s="18"/>
      <c r="V629" s="18"/>
      <c r="W629" s="32"/>
      <c r="X629" s="18"/>
      <c r="Y629" s="18"/>
      <c r="Z629" s="32"/>
      <c r="AA629" s="18"/>
      <c r="AB629" s="18"/>
      <c r="AC629" s="18"/>
      <c r="AD629" s="18"/>
      <c r="AE629" s="18"/>
      <c r="AF629" s="18"/>
      <c r="AG629" s="33"/>
      <c r="AH629" s="32"/>
    </row>
    <row r="630" spans="14:34" x14ac:dyDescent="0.25">
      <c r="N630" s="11"/>
      <c r="P630" s="49"/>
      <c r="Q630" s="18"/>
      <c r="R630" s="18"/>
      <c r="S630" s="18"/>
      <c r="T630" s="18"/>
      <c r="U630" s="18"/>
      <c r="V630" s="18"/>
      <c r="W630" s="32"/>
      <c r="X630" s="18"/>
      <c r="Y630" s="18"/>
      <c r="Z630" s="32"/>
      <c r="AA630" s="18"/>
      <c r="AB630" s="18"/>
      <c r="AC630" s="18"/>
      <c r="AD630" s="18"/>
      <c r="AE630" s="18"/>
      <c r="AF630" s="18"/>
      <c r="AG630" s="33"/>
      <c r="AH630" s="32"/>
    </row>
    <row r="631" spans="14:34" x14ac:dyDescent="0.25">
      <c r="N631" s="11"/>
      <c r="P631" s="49"/>
      <c r="Q631" s="18"/>
      <c r="R631" s="18"/>
      <c r="S631" s="18"/>
      <c r="T631" s="18"/>
      <c r="U631" s="18"/>
      <c r="V631" s="18"/>
      <c r="W631" s="32"/>
      <c r="X631" s="18"/>
      <c r="Y631" s="18"/>
      <c r="Z631" s="32"/>
      <c r="AA631" s="18"/>
      <c r="AB631" s="18"/>
      <c r="AC631" s="18"/>
      <c r="AD631" s="18"/>
      <c r="AE631" s="18"/>
      <c r="AF631" s="18"/>
      <c r="AG631" s="33"/>
      <c r="AH631" s="32"/>
    </row>
    <row r="632" spans="14:34" x14ac:dyDescent="0.25">
      <c r="N632" s="11"/>
      <c r="P632" s="49"/>
      <c r="Q632" s="18"/>
      <c r="R632" s="18"/>
      <c r="S632" s="18"/>
      <c r="T632" s="18"/>
      <c r="U632" s="18"/>
      <c r="V632" s="18"/>
      <c r="W632" s="32"/>
      <c r="X632" s="18"/>
      <c r="Y632" s="18"/>
      <c r="Z632" s="32"/>
      <c r="AA632" s="18"/>
      <c r="AB632" s="18"/>
      <c r="AC632" s="18"/>
      <c r="AD632" s="18"/>
      <c r="AE632" s="18"/>
      <c r="AF632" s="18"/>
      <c r="AG632" s="33"/>
      <c r="AH632" s="32"/>
    </row>
    <row r="633" spans="14:34" x14ac:dyDescent="0.25">
      <c r="N633" s="11"/>
      <c r="P633" s="49"/>
      <c r="Q633" s="18"/>
      <c r="R633" s="18"/>
      <c r="S633" s="18"/>
      <c r="T633" s="18"/>
      <c r="U633" s="18"/>
      <c r="V633" s="18"/>
      <c r="W633" s="32"/>
      <c r="X633" s="18"/>
      <c r="Y633" s="18"/>
      <c r="Z633" s="32"/>
      <c r="AA633" s="18"/>
      <c r="AB633" s="18"/>
      <c r="AC633" s="18"/>
      <c r="AD633" s="18"/>
      <c r="AE633" s="18"/>
      <c r="AF633" s="18"/>
      <c r="AG633" s="33"/>
      <c r="AH633" s="32"/>
    </row>
    <row r="634" spans="14:34" x14ac:dyDescent="0.25">
      <c r="N634" s="11"/>
      <c r="P634" s="49"/>
      <c r="Q634" s="18"/>
      <c r="R634" s="18"/>
      <c r="S634" s="18"/>
      <c r="T634" s="18"/>
      <c r="U634" s="18"/>
      <c r="V634" s="18"/>
      <c r="W634" s="32"/>
      <c r="X634" s="18"/>
      <c r="Y634" s="18"/>
      <c r="Z634" s="32"/>
      <c r="AA634" s="18"/>
      <c r="AB634" s="18"/>
      <c r="AC634" s="18"/>
      <c r="AD634" s="18"/>
      <c r="AE634" s="18"/>
      <c r="AF634" s="18"/>
      <c r="AG634" s="33"/>
      <c r="AH634" s="32"/>
    </row>
    <row r="635" spans="14:34" x14ac:dyDescent="0.25">
      <c r="N635" s="11"/>
      <c r="P635" s="49"/>
      <c r="Q635" s="18"/>
      <c r="R635" s="18"/>
      <c r="S635" s="18"/>
      <c r="T635" s="18"/>
      <c r="U635" s="18"/>
      <c r="V635" s="18"/>
      <c r="W635" s="32"/>
      <c r="X635" s="18"/>
      <c r="Y635" s="18"/>
      <c r="Z635" s="32"/>
      <c r="AA635" s="18"/>
      <c r="AB635" s="18"/>
      <c r="AC635" s="18"/>
      <c r="AD635" s="18"/>
      <c r="AE635" s="18"/>
      <c r="AF635" s="18"/>
      <c r="AG635" s="33"/>
      <c r="AH635" s="32"/>
    </row>
    <row r="636" spans="14:34" x14ac:dyDescent="0.25">
      <c r="N636" s="11"/>
      <c r="P636" s="49"/>
      <c r="Q636" s="18"/>
      <c r="R636" s="18"/>
      <c r="S636" s="18"/>
      <c r="T636" s="18"/>
      <c r="U636" s="18"/>
      <c r="V636" s="18"/>
      <c r="W636" s="32"/>
      <c r="X636" s="18"/>
      <c r="Y636" s="18"/>
      <c r="Z636" s="32"/>
      <c r="AA636" s="18"/>
      <c r="AB636" s="18"/>
      <c r="AC636" s="18"/>
      <c r="AD636" s="18"/>
      <c r="AE636" s="18"/>
      <c r="AF636" s="18"/>
      <c r="AG636" s="33"/>
      <c r="AH636" s="32"/>
    </row>
    <row r="637" spans="14:34" x14ac:dyDescent="0.25">
      <c r="N637" s="11"/>
      <c r="P637" s="49"/>
      <c r="Q637" s="18"/>
      <c r="R637" s="18"/>
      <c r="S637" s="18"/>
      <c r="T637" s="18"/>
      <c r="U637" s="18"/>
      <c r="V637" s="18"/>
      <c r="W637" s="32"/>
      <c r="X637" s="18"/>
      <c r="Y637" s="18"/>
      <c r="Z637" s="32"/>
      <c r="AA637" s="18"/>
      <c r="AB637" s="18"/>
      <c r="AC637" s="18"/>
      <c r="AD637" s="18"/>
      <c r="AE637" s="18"/>
      <c r="AF637" s="18"/>
      <c r="AG637" s="33"/>
      <c r="AH637" s="32"/>
    </row>
    <row r="638" spans="14:34" x14ac:dyDescent="0.25">
      <c r="N638" s="11"/>
      <c r="P638" s="49"/>
      <c r="Q638" s="18"/>
      <c r="R638" s="18"/>
      <c r="S638" s="18"/>
      <c r="T638" s="18"/>
      <c r="U638" s="18"/>
      <c r="V638" s="18"/>
      <c r="W638" s="32"/>
      <c r="X638" s="18"/>
      <c r="Y638" s="18"/>
      <c r="Z638" s="32"/>
      <c r="AA638" s="18"/>
      <c r="AB638" s="18"/>
      <c r="AC638" s="18"/>
      <c r="AD638" s="18"/>
      <c r="AE638" s="18"/>
      <c r="AF638" s="18"/>
      <c r="AG638" s="33"/>
      <c r="AH638" s="32"/>
    </row>
    <row r="639" spans="14:34" x14ac:dyDescent="0.25">
      <c r="N639" s="11"/>
      <c r="P639" s="49"/>
      <c r="Q639" s="18"/>
      <c r="R639" s="18"/>
      <c r="S639" s="18"/>
      <c r="T639" s="18"/>
      <c r="U639" s="18"/>
      <c r="V639" s="18"/>
      <c r="W639" s="32"/>
      <c r="X639" s="18"/>
      <c r="Y639" s="18"/>
      <c r="Z639" s="32"/>
      <c r="AA639" s="18"/>
      <c r="AB639" s="18"/>
      <c r="AC639" s="18"/>
      <c r="AD639" s="18"/>
      <c r="AE639" s="18"/>
      <c r="AF639" s="18"/>
      <c r="AG639" s="33"/>
      <c r="AH639" s="32"/>
    </row>
    <row r="640" spans="14:34" x14ac:dyDescent="0.25">
      <c r="N640" s="11"/>
      <c r="P640" s="49"/>
      <c r="Q640" s="18"/>
      <c r="R640" s="18"/>
      <c r="S640" s="18"/>
      <c r="T640" s="18"/>
      <c r="U640" s="18"/>
      <c r="V640" s="18"/>
      <c r="W640" s="32"/>
      <c r="X640" s="18"/>
      <c r="Y640" s="18"/>
      <c r="Z640" s="32"/>
      <c r="AA640" s="18"/>
      <c r="AB640" s="18"/>
      <c r="AC640" s="18"/>
      <c r="AD640" s="18"/>
      <c r="AE640" s="18"/>
      <c r="AF640" s="18"/>
      <c r="AG640" s="33"/>
      <c r="AH640" s="32"/>
    </row>
    <row r="641" spans="14:34" x14ac:dyDescent="0.25">
      <c r="N641" s="11"/>
      <c r="P641" s="49"/>
      <c r="Q641" s="18"/>
      <c r="R641" s="18"/>
      <c r="S641" s="18"/>
      <c r="T641" s="18"/>
      <c r="U641" s="18"/>
      <c r="V641" s="18"/>
      <c r="W641" s="32"/>
      <c r="X641" s="18"/>
      <c r="Y641" s="18"/>
      <c r="Z641" s="32"/>
      <c r="AA641" s="18"/>
      <c r="AB641" s="18"/>
      <c r="AC641" s="18"/>
      <c r="AD641" s="18"/>
      <c r="AE641" s="18"/>
      <c r="AF641" s="18"/>
      <c r="AG641" s="33"/>
      <c r="AH641" s="32"/>
    </row>
    <row r="642" spans="14:34" x14ac:dyDescent="0.25">
      <c r="N642" s="11"/>
      <c r="P642" s="49"/>
      <c r="Q642" s="18"/>
      <c r="R642" s="18"/>
      <c r="S642" s="18"/>
      <c r="T642" s="18"/>
      <c r="U642" s="18"/>
      <c r="V642" s="18"/>
      <c r="W642" s="32"/>
      <c r="X642" s="18"/>
      <c r="Y642" s="18"/>
      <c r="Z642" s="32"/>
      <c r="AA642" s="18"/>
      <c r="AB642" s="18"/>
      <c r="AC642" s="18"/>
      <c r="AD642" s="18"/>
      <c r="AE642" s="18"/>
      <c r="AF642" s="18"/>
      <c r="AG642" s="33"/>
      <c r="AH642" s="32"/>
    </row>
    <row r="643" spans="14:34" x14ac:dyDescent="0.25">
      <c r="N643" s="11"/>
      <c r="P643" s="49"/>
      <c r="Q643" s="18"/>
      <c r="R643" s="18"/>
      <c r="S643" s="18"/>
      <c r="T643" s="18"/>
      <c r="U643" s="18"/>
      <c r="V643" s="18"/>
      <c r="W643" s="32"/>
      <c r="X643" s="18"/>
      <c r="Y643" s="18"/>
      <c r="Z643" s="32"/>
      <c r="AA643" s="18"/>
      <c r="AB643" s="18"/>
      <c r="AC643" s="18"/>
      <c r="AD643" s="18"/>
      <c r="AE643" s="18"/>
      <c r="AF643" s="18"/>
      <c r="AG643" s="33"/>
      <c r="AH643" s="32"/>
    </row>
    <row r="644" spans="14:34" x14ac:dyDescent="0.25">
      <c r="N644" s="11"/>
      <c r="P644" s="49"/>
      <c r="Q644" s="18"/>
      <c r="R644" s="18"/>
      <c r="S644" s="18"/>
      <c r="T644" s="18"/>
      <c r="U644" s="18"/>
      <c r="V644" s="18"/>
      <c r="W644" s="32"/>
      <c r="X644" s="18"/>
      <c r="Y644" s="18"/>
      <c r="Z644" s="32"/>
      <c r="AA644" s="18"/>
      <c r="AB644" s="18"/>
      <c r="AC644" s="18"/>
      <c r="AD644" s="18"/>
      <c r="AE644" s="18"/>
      <c r="AF644" s="18"/>
      <c r="AG644" s="33"/>
      <c r="AH644" s="32"/>
    </row>
    <row r="645" spans="14:34" x14ac:dyDescent="0.25">
      <c r="N645" s="11"/>
      <c r="P645" s="49"/>
      <c r="Q645" s="18"/>
      <c r="R645" s="18"/>
      <c r="S645" s="18"/>
      <c r="T645" s="18"/>
      <c r="U645" s="18"/>
      <c r="V645" s="18"/>
      <c r="W645" s="32"/>
      <c r="X645" s="18"/>
      <c r="Y645" s="18"/>
      <c r="Z645" s="32"/>
      <c r="AA645" s="18"/>
      <c r="AB645" s="18"/>
      <c r="AC645" s="18"/>
      <c r="AD645" s="18"/>
      <c r="AE645" s="18"/>
      <c r="AF645" s="18"/>
      <c r="AG645" s="33"/>
      <c r="AH645" s="32"/>
    </row>
    <row r="646" spans="14:34" x14ac:dyDescent="0.25">
      <c r="N646" s="11"/>
      <c r="P646" s="49"/>
      <c r="Q646" s="18"/>
      <c r="R646" s="18"/>
      <c r="S646" s="18"/>
      <c r="T646" s="18"/>
      <c r="U646" s="18"/>
      <c r="V646" s="18"/>
      <c r="W646" s="32"/>
      <c r="X646" s="18"/>
      <c r="Y646" s="18"/>
      <c r="Z646" s="32"/>
      <c r="AA646" s="18"/>
      <c r="AB646" s="18"/>
      <c r="AC646" s="18"/>
      <c r="AD646" s="18"/>
      <c r="AE646" s="18"/>
      <c r="AF646" s="18"/>
      <c r="AG646" s="33"/>
      <c r="AH646" s="32"/>
    </row>
    <row r="647" spans="14:34" x14ac:dyDescent="0.25">
      <c r="N647" s="11"/>
      <c r="P647" s="49"/>
      <c r="Q647" s="18"/>
      <c r="R647" s="18"/>
      <c r="S647" s="18"/>
      <c r="T647" s="18"/>
      <c r="U647" s="18"/>
      <c r="V647" s="18"/>
      <c r="W647" s="32"/>
      <c r="X647" s="18"/>
      <c r="Y647" s="18"/>
      <c r="Z647" s="32"/>
      <c r="AA647" s="18"/>
      <c r="AB647" s="18"/>
      <c r="AC647" s="18"/>
      <c r="AD647" s="18"/>
      <c r="AE647" s="18"/>
      <c r="AF647" s="18"/>
      <c r="AG647" s="33"/>
      <c r="AH647" s="32"/>
    </row>
    <row r="648" spans="14:34" x14ac:dyDescent="0.25">
      <c r="N648" s="11"/>
      <c r="P648" s="49"/>
      <c r="Q648" s="18"/>
      <c r="R648" s="18"/>
      <c r="S648" s="18"/>
      <c r="T648" s="18"/>
      <c r="U648" s="18"/>
      <c r="V648" s="18"/>
      <c r="W648" s="32"/>
      <c r="X648" s="18"/>
      <c r="Y648" s="18"/>
      <c r="Z648" s="32"/>
      <c r="AA648" s="18"/>
      <c r="AB648" s="18"/>
      <c r="AC648" s="18"/>
      <c r="AD648" s="18"/>
      <c r="AE648" s="18"/>
      <c r="AF648" s="18"/>
      <c r="AG648" s="33"/>
      <c r="AH648" s="32"/>
    </row>
    <row r="649" spans="14:34" x14ac:dyDescent="0.25">
      <c r="N649" s="11"/>
      <c r="P649" s="49"/>
      <c r="Q649" s="18"/>
      <c r="R649" s="18"/>
      <c r="S649" s="18"/>
      <c r="T649" s="18"/>
      <c r="U649" s="18"/>
      <c r="V649" s="18"/>
      <c r="W649" s="32"/>
      <c r="X649" s="18"/>
      <c r="Y649" s="18"/>
      <c r="Z649" s="32"/>
      <c r="AA649" s="18"/>
      <c r="AB649" s="18"/>
      <c r="AC649" s="18"/>
      <c r="AD649" s="18"/>
      <c r="AE649" s="18"/>
      <c r="AF649" s="18"/>
      <c r="AG649" s="33"/>
      <c r="AH649" s="32"/>
    </row>
    <row r="650" spans="14:34" x14ac:dyDescent="0.25">
      <c r="N650" s="11"/>
      <c r="P650" s="49"/>
      <c r="Q650" s="18"/>
      <c r="R650" s="18"/>
      <c r="S650" s="18"/>
      <c r="T650" s="18"/>
      <c r="U650" s="18"/>
      <c r="V650" s="18"/>
      <c r="W650" s="32"/>
      <c r="X650" s="18"/>
      <c r="Y650" s="18"/>
      <c r="Z650" s="32"/>
      <c r="AA650" s="18"/>
      <c r="AB650" s="18"/>
      <c r="AC650" s="18"/>
      <c r="AD650" s="18"/>
      <c r="AE650" s="18"/>
      <c r="AF650" s="18"/>
      <c r="AG650" s="33"/>
      <c r="AH650" s="32"/>
    </row>
    <row r="651" spans="14:34" x14ac:dyDescent="0.25">
      <c r="N651" s="11"/>
      <c r="P651" s="49"/>
      <c r="Q651" s="18"/>
      <c r="R651" s="18"/>
      <c r="S651" s="18"/>
      <c r="T651" s="18"/>
      <c r="U651" s="18"/>
      <c r="V651" s="18"/>
      <c r="W651" s="32"/>
      <c r="X651" s="18"/>
      <c r="Y651" s="18"/>
      <c r="Z651" s="32"/>
      <c r="AA651" s="18"/>
      <c r="AB651" s="18"/>
      <c r="AC651" s="18"/>
      <c r="AD651" s="18"/>
      <c r="AE651" s="18"/>
      <c r="AF651" s="18"/>
      <c r="AG651" s="33"/>
      <c r="AH651" s="32"/>
    </row>
    <row r="652" spans="14:34" x14ac:dyDescent="0.25">
      <c r="N652" s="11"/>
      <c r="P652" s="49"/>
      <c r="Q652" s="18"/>
      <c r="R652" s="18"/>
      <c r="S652" s="18"/>
      <c r="T652" s="18"/>
      <c r="U652" s="18"/>
      <c r="V652" s="18"/>
      <c r="W652" s="32"/>
      <c r="X652" s="18"/>
      <c r="Y652" s="18"/>
      <c r="Z652" s="32"/>
      <c r="AA652" s="18"/>
      <c r="AB652" s="18"/>
      <c r="AC652" s="18"/>
      <c r="AD652" s="18"/>
      <c r="AE652" s="18"/>
      <c r="AF652" s="18"/>
      <c r="AG652" s="33"/>
      <c r="AH652" s="32"/>
    </row>
    <row r="653" spans="14:34" x14ac:dyDescent="0.25">
      <c r="N653" s="11"/>
      <c r="P653" s="49"/>
      <c r="Q653" s="18"/>
      <c r="R653" s="18"/>
      <c r="S653" s="18"/>
      <c r="T653" s="18"/>
      <c r="U653" s="18"/>
      <c r="V653" s="18"/>
      <c r="W653" s="32"/>
      <c r="X653" s="18"/>
      <c r="Y653" s="18"/>
      <c r="Z653" s="32"/>
      <c r="AA653" s="18"/>
      <c r="AB653" s="18"/>
      <c r="AC653" s="18"/>
      <c r="AD653" s="18"/>
      <c r="AE653" s="18"/>
      <c r="AF653" s="18"/>
      <c r="AG653" s="33"/>
      <c r="AH653" s="32"/>
    </row>
    <row r="654" spans="14:34" x14ac:dyDescent="0.25">
      <c r="N654" s="11"/>
      <c r="P654" s="49"/>
      <c r="Q654" s="18"/>
      <c r="R654" s="18"/>
      <c r="S654" s="18"/>
      <c r="T654" s="18"/>
      <c r="U654" s="18"/>
      <c r="V654" s="18"/>
      <c r="W654" s="32"/>
      <c r="X654" s="18"/>
      <c r="Y654" s="18"/>
      <c r="Z654" s="32"/>
      <c r="AA654" s="18"/>
      <c r="AB654" s="18"/>
      <c r="AC654" s="18"/>
      <c r="AD654" s="18"/>
      <c r="AE654" s="18"/>
      <c r="AF654" s="18"/>
      <c r="AG654" s="33"/>
      <c r="AH654" s="32"/>
    </row>
    <row r="655" spans="14:34" x14ac:dyDescent="0.25">
      <c r="N655" s="11"/>
      <c r="P655" s="49"/>
      <c r="Q655" s="18"/>
      <c r="R655" s="18"/>
      <c r="S655" s="18"/>
      <c r="T655" s="18"/>
      <c r="U655" s="18"/>
      <c r="V655" s="18"/>
      <c r="W655" s="32"/>
      <c r="X655" s="18"/>
      <c r="Y655" s="18"/>
      <c r="Z655" s="32"/>
      <c r="AA655" s="18"/>
      <c r="AB655" s="18"/>
      <c r="AC655" s="18"/>
      <c r="AD655" s="18"/>
      <c r="AE655" s="18"/>
      <c r="AF655" s="18"/>
      <c r="AG655" s="33"/>
      <c r="AH655" s="32"/>
    </row>
    <row r="656" spans="14:34" x14ac:dyDescent="0.25">
      <c r="N656" s="11"/>
      <c r="P656" s="49"/>
      <c r="Q656" s="18"/>
      <c r="R656" s="18"/>
      <c r="S656" s="18"/>
      <c r="T656" s="18"/>
      <c r="U656" s="18"/>
      <c r="V656" s="18"/>
      <c r="W656" s="32"/>
      <c r="X656" s="18"/>
      <c r="Y656" s="18"/>
      <c r="Z656" s="32"/>
      <c r="AA656" s="18"/>
      <c r="AB656" s="18"/>
      <c r="AC656" s="18"/>
      <c r="AD656" s="18"/>
      <c r="AE656" s="18"/>
      <c r="AF656" s="18"/>
      <c r="AG656" s="33"/>
      <c r="AH656" s="32"/>
    </row>
    <row r="657" spans="14:34" x14ac:dyDescent="0.25">
      <c r="N657" s="11"/>
      <c r="P657" s="49"/>
      <c r="Q657" s="18"/>
      <c r="R657" s="18"/>
      <c r="S657" s="18"/>
      <c r="T657" s="18"/>
      <c r="U657" s="18"/>
      <c r="V657" s="18"/>
      <c r="W657" s="32"/>
      <c r="X657" s="18"/>
      <c r="Y657" s="18"/>
      <c r="Z657" s="32"/>
      <c r="AA657" s="18"/>
      <c r="AB657" s="18"/>
      <c r="AC657" s="18"/>
      <c r="AD657" s="18"/>
      <c r="AE657" s="18"/>
      <c r="AF657" s="18"/>
      <c r="AG657" s="33"/>
      <c r="AH657" s="32"/>
    </row>
    <row r="658" spans="14:34" x14ac:dyDescent="0.25">
      <c r="N658" s="11"/>
      <c r="P658" s="49"/>
      <c r="Q658" s="18"/>
      <c r="R658" s="18"/>
      <c r="S658" s="18"/>
      <c r="T658" s="18"/>
      <c r="U658" s="18"/>
      <c r="V658" s="18"/>
      <c r="W658" s="32"/>
      <c r="X658" s="18"/>
      <c r="Y658" s="18"/>
      <c r="Z658" s="32"/>
      <c r="AA658" s="18"/>
      <c r="AB658" s="18"/>
      <c r="AC658" s="18"/>
      <c r="AD658" s="18"/>
      <c r="AE658" s="18"/>
      <c r="AF658" s="18"/>
      <c r="AG658" s="33"/>
      <c r="AH658" s="32"/>
    </row>
    <row r="659" spans="14:34" x14ac:dyDescent="0.25">
      <c r="N659" s="11"/>
      <c r="P659" s="49"/>
      <c r="Q659" s="18"/>
      <c r="R659" s="18"/>
      <c r="S659" s="18"/>
      <c r="T659" s="18"/>
      <c r="U659" s="18"/>
      <c r="V659" s="18"/>
      <c r="W659" s="32"/>
      <c r="X659" s="18"/>
      <c r="Y659" s="18"/>
      <c r="Z659" s="32"/>
      <c r="AA659" s="18"/>
      <c r="AB659" s="18"/>
      <c r="AC659" s="18"/>
      <c r="AD659" s="18"/>
      <c r="AE659" s="18"/>
      <c r="AF659" s="18"/>
      <c r="AG659" s="33"/>
      <c r="AH659" s="32"/>
    </row>
    <row r="660" spans="14:34" x14ac:dyDescent="0.25">
      <c r="N660" s="11"/>
      <c r="P660" s="49"/>
      <c r="Q660" s="18"/>
      <c r="R660" s="18"/>
      <c r="S660" s="18"/>
      <c r="T660" s="18"/>
      <c r="U660" s="18"/>
      <c r="V660" s="18"/>
      <c r="W660" s="32"/>
      <c r="X660" s="18"/>
      <c r="Y660" s="18"/>
      <c r="Z660" s="32"/>
      <c r="AA660" s="18"/>
      <c r="AB660" s="18"/>
      <c r="AC660" s="18"/>
      <c r="AD660" s="18"/>
      <c r="AE660" s="18"/>
      <c r="AF660" s="18"/>
      <c r="AG660" s="33"/>
      <c r="AH660" s="32"/>
    </row>
    <row r="661" spans="14:34" x14ac:dyDescent="0.25">
      <c r="N661" s="11"/>
      <c r="P661" s="49"/>
      <c r="Q661" s="18"/>
      <c r="R661" s="18"/>
      <c r="S661" s="18"/>
      <c r="T661" s="18"/>
      <c r="U661" s="18"/>
      <c r="V661" s="18"/>
      <c r="W661" s="32"/>
      <c r="X661" s="18"/>
      <c r="Y661" s="18"/>
      <c r="Z661" s="32"/>
      <c r="AA661" s="18"/>
      <c r="AB661" s="18"/>
      <c r="AC661" s="18"/>
      <c r="AD661" s="18"/>
      <c r="AE661" s="18"/>
      <c r="AF661" s="18"/>
      <c r="AG661" s="33"/>
      <c r="AH661" s="32"/>
    </row>
    <row r="662" spans="14:34" x14ac:dyDescent="0.25">
      <c r="N662" s="11"/>
      <c r="P662" s="49"/>
      <c r="Q662" s="18"/>
      <c r="R662" s="18"/>
      <c r="S662" s="18"/>
      <c r="T662" s="18"/>
      <c r="U662" s="18"/>
      <c r="V662" s="18"/>
      <c r="W662" s="32"/>
      <c r="X662" s="18"/>
      <c r="Y662" s="18"/>
      <c r="Z662" s="32"/>
      <c r="AA662" s="18"/>
      <c r="AB662" s="18"/>
      <c r="AC662" s="18"/>
      <c r="AD662" s="18"/>
      <c r="AE662" s="18"/>
      <c r="AF662" s="18"/>
      <c r="AG662" s="33"/>
      <c r="AH662" s="32"/>
    </row>
    <row r="663" spans="14:34" x14ac:dyDescent="0.25">
      <c r="N663" s="11"/>
      <c r="P663" s="49"/>
      <c r="Q663" s="18"/>
      <c r="R663" s="18"/>
      <c r="S663" s="18"/>
      <c r="T663" s="18"/>
      <c r="U663" s="18"/>
      <c r="V663" s="18"/>
      <c r="W663" s="32"/>
      <c r="X663" s="18"/>
      <c r="Y663" s="18"/>
      <c r="Z663" s="32"/>
      <c r="AA663" s="18"/>
      <c r="AB663" s="18"/>
      <c r="AC663" s="18"/>
      <c r="AD663" s="18"/>
      <c r="AE663" s="18"/>
      <c r="AF663" s="18"/>
      <c r="AG663" s="33"/>
      <c r="AH663" s="32"/>
    </row>
    <row r="664" spans="14:34" x14ac:dyDescent="0.25">
      <c r="N664" s="11"/>
      <c r="P664" s="49"/>
      <c r="Q664" s="18"/>
      <c r="R664" s="18"/>
      <c r="S664" s="18"/>
      <c r="T664" s="18"/>
      <c r="U664" s="18"/>
      <c r="V664" s="18"/>
      <c r="W664" s="32"/>
      <c r="X664" s="18"/>
      <c r="Y664" s="18"/>
      <c r="Z664" s="32"/>
      <c r="AA664" s="18"/>
      <c r="AB664" s="18"/>
      <c r="AC664" s="18"/>
      <c r="AD664" s="18"/>
      <c r="AE664" s="18"/>
      <c r="AF664" s="18"/>
      <c r="AG664" s="33"/>
      <c r="AH664" s="32"/>
    </row>
    <row r="665" spans="14:34" x14ac:dyDescent="0.25">
      <c r="N665" s="11"/>
      <c r="P665" s="49"/>
      <c r="Q665" s="18"/>
      <c r="R665" s="18"/>
      <c r="S665" s="18"/>
      <c r="T665" s="18"/>
      <c r="U665" s="18"/>
      <c r="V665" s="18"/>
      <c r="W665" s="32"/>
      <c r="X665" s="18"/>
      <c r="Y665" s="18"/>
      <c r="Z665" s="32"/>
      <c r="AA665" s="18"/>
      <c r="AB665" s="18"/>
      <c r="AC665" s="18"/>
      <c r="AD665" s="18"/>
      <c r="AE665" s="18"/>
      <c r="AF665" s="18"/>
      <c r="AG665" s="33"/>
      <c r="AH665" s="32"/>
    </row>
    <row r="666" spans="14:34" x14ac:dyDescent="0.25">
      <c r="N666" s="11"/>
      <c r="P666" s="49"/>
      <c r="Q666" s="18"/>
      <c r="R666" s="18"/>
      <c r="S666" s="18"/>
      <c r="T666" s="18"/>
      <c r="U666" s="18"/>
      <c r="V666" s="18"/>
      <c r="W666" s="32"/>
      <c r="X666" s="18"/>
      <c r="Y666" s="18"/>
      <c r="Z666" s="32"/>
      <c r="AA666" s="18"/>
      <c r="AB666" s="18"/>
      <c r="AC666" s="18"/>
      <c r="AD666" s="18"/>
      <c r="AE666" s="18"/>
      <c r="AF666" s="18"/>
      <c r="AG666" s="33"/>
      <c r="AH666" s="32"/>
    </row>
    <row r="667" spans="14:34" x14ac:dyDescent="0.25">
      <c r="N667" s="11"/>
      <c r="P667" s="49"/>
      <c r="Q667" s="18"/>
      <c r="R667" s="18"/>
      <c r="S667" s="18"/>
      <c r="T667" s="18"/>
      <c r="U667" s="18"/>
      <c r="V667" s="18"/>
      <c r="W667" s="32"/>
      <c r="X667" s="18"/>
      <c r="Y667" s="18"/>
      <c r="Z667" s="32"/>
      <c r="AA667" s="18"/>
      <c r="AB667" s="18"/>
      <c r="AC667" s="18"/>
      <c r="AD667" s="18"/>
      <c r="AE667" s="18"/>
      <c r="AF667" s="18"/>
      <c r="AG667" s="33"/>
      <c r="AH667" s="32"/>
    </row>
    <row r="668" spans="14:34" x14ac:dyDescent="0.25">
      <c r="N668" s="11"/>
      <c r="P668" s="49"/>
      <c r="Q668" s="18"/>
      <c r="R668" s="18"/>
      <c r="S668" s="18"/>
      <c r="T668" s="18"/>
      <c r="U668" s="18"/>
      <c r="V668" s="18"/>
      <c r="W668" s="32"/>
      <c r="X668" s="18"/>
      <c r="Y668" s="18"/>
      <c r="Z668" s="32"/>
      <c r="AA668" s="18"/>
      <c r="AB668" s="18"/>
      <c r="AC668" s="18"/>
      <c r="AD668" s="18"/>
      <c r="AE668" s="18"/>
      <c r="AF668" s="18"/>
      <c r="AG668" s="33"/>
      <c r="AH668" s="32"/>
    </row>
    <row r="669" spans="14:34" x14ac:dyDescent="0.25">
      <c r="N669" s="11"/>
      <c r="P669" s="49"/>
      <c r="Q669" s="18"/>
      <c r="R669" s="18"/>
      <c r="S669" s="18"/>
      <c r="T669" s="18"/>
      <c r="U669" s="18"/>
      <c r="V669" s="18"/>
      <c r="W669" s="32"/>
      <c r="X669" s="18"/>
      <c r="Y669" s="18"/>
      <c r="Z669" s="32"/>
      <c r="AA669" s="18"/>
      <c r="AB669" s="18"/>
      <c r="AC669" s="18"/>
      <c r="AD669" s="18"/>
      <c r="AE669" s="18"/>
      <c r="AF669" s="18"/>
      <c r="AG669" s="33"/>
      <c r="AH669" s="32"/>
    </row>
    <row r="670" spans="14:34" x14ac:dyDescent="0.25">
      <c r="N670" s="11"/>
      <c r="P670" s="49"/>
      <c r="Q670" s="18"/>
      <c r="R670" s="18"/>
      <c r="S670" s="18"/>
      <c r="T670" s="18"/>
      <c r="U670" s="18"/>
      <c r="V670" s="18"/>
      <c r="W670" s="32"/>
      <c r="X670" s="18"/>
      <c r="Y670" s="18"/>
      <c r="Z670" s="32"/>
      <c r="AA670" s="18"/>
      <c r="AB670" s="18"/>
      <c r="AC670" s="18"/>
      <c r="AD670" s="18"/>
      <c r="AE670" s="18"/>
      <c r="AF670" s="18"/>
      <c r="AG670" s="33"/>
      <c r="AH670" s="32"/>
    </row>
    <row r="671" spans="14:34" x14ac:dyDescent="0.25">
      <c r="N671" s="11"/>
      <c r="P671" s="49"/>
      <c r="Q671" s="18"/>
      <c r="R671" s="18"/>
      <c r="S671" s="18"/>
      <c r="T671" s="18"/>
      <c r="U671" s="18"/>
      <c r="V671" s="18"/>
      <c r="W671" s="32"/>
      <c r="X671" s="18"/>
      <c r="Y671" s="18"/>
      <c r="Z671" s="32"/>
      <c r="AA671" s="18"/>
      <c r="AB671" s="18"/>
      <c r="AC671" s="18"/>
      <c r="AD671" s="18"/>
      <c r="AE671" s="18"/>
      <c r="AF671" s="18"/>
      <c r="AG671" s="33"/>
      <c r="AH671" s="32"/>
    </row>
    <row r="672" spans="14:34" x14ac:dyDescent="0.25">
      <c r="N672" s="11"/>
      <c r="P672" s="49"/>
      <c r="Q672" s="18"/>
      <c r="R672" s="18"/>
      <c r="S672" s="18"/>
      <c r="T672" s="18"/>
      <c r="U672" s="18"/>
      <c r="V672" s="18"/>
      <c r="W672" s="32"/>
      <c r="X672" s="18"/>
      <c r="Y672" s="18"/>
      <c r="Z672" s="32"/>
      <c r="AA672" s="18"/>
      <c r="AB672" s="18"/>
      <c r="AC672" s="18"/>
      <c r="AD672" s="18"/>
      <c r="AE672" s="18"/>
      <c r="AF672" s="18"/>
      <c r="AG672" s="33"/>
      <c r="AH672" s="32"/>
    </row>
    <row r="673" spans="14:34" x14ac:dyDescent="0.25">
      <c r="N673" s="11"/>
      <c r="P673" s="49"/>
      <c r="Q673" s="18"/>
      <c r="R673" s="18"/>
      <c r="S673" s="18"/>
      <c r="T673" s="18"/>
      <c r="U673" s="18"/>
      <c r="V673" s="18"/>
      <c r="W673" s="32"/>
      <c r="X673" s="18"/>
      <c r="Y673" s="18"/>
      <c r="Z673" s="32"/>
      <c r="AA673" s="18"/>
      <c r="AB673" s="18"/>
      <c r="AC673" s="18"/>
      <c r="AD673" s="18"/>
      <c r="AE673" s="18"/>
      <c r="AF673" s="18"/>
      <c r="AG673" s="33"/>
      <c r="AH673" s="32"/>
    </row>
    <row r="674" spans="14:34" x14ac:dyDescent="0.25">
      <c r="N674" s="11"/>
      <c r="P674" s="49"/>
      <c r="Q674" s="18"/>
      <c r="R674" s="18"/>
      <c r="S674" s="18"/>
      <c r="T674" s="18"/>
      <c r="U674" s="18"/>
      <c r="V674" s="18"/>
      <c r="W674" s="32"/>
      <c r="X674" s="18"/>
      <c r="Y674" s="18"/>
      <c r="Z674" s="32"/>
      <c r="AA674" s="18"/>
      <c r="AB674" s="18"/>
      <c r="AC674" s="18"/>
      <c r="AD674" s="18"/>
      <c r="AE674" s="18"/>
      <c r="AF674" s="18"/>
      <c r="AG674" s="33"/>
      <c r="AH674" s="32"/>
    </row>
    <row r="675" spans="14:34" x14ac:dyDescent="0.25">
      <c r="N675" s="11"/>
      <c r="P675" s="49"/>
      <c r="Q675" s="18"/>
      <c r="R675" s="18"/>
      <c r="S675" s="18"/>
      <c r="T675" s="18"/>
      <c r="U675" s="18"/>
      <c r="V675" s="18"/>
      <c r="W675" s="32"/>
      <c r="X675" s="18"/>
      <c r="Y675" s="18"/>
      <c r="Z675" s="32"/>
      <c r="AA675" s="18"/>
      <c r="AB675" s="18"/>
      <c r="AC675" s="18"/>
      <c r="AD675" s="18"/>
      <c r="AE675" s="18"/>
      <c r="AF675" s="18"/>
      <c r="AG675" s="33"/>
      <c r="AH675" s="32"/>
    </row>
    <row r="676" spans="14:34" x14ac:dyDescent="0.25">
      <c r="N676" s="11"/>
      <c r="P676" s="49"/>
      <c r="Q676" s="18"/>
      <c r="R676" s="18"/>
      <c r="S676" s="18"/>
      <c r="T676" s="18"/>
      <c r="U676" s="18"/>
      <c r="V676" s="18"/>
      <c r="W676" s="32"/>
      <c r="X676" s="18"/>
      <c r="Y676" s="18"/>
      <c r="Z676" s="32"/>
      <c r="AA676" s="18"/>
      <c r="AB676" s="18"/>
      <c r="AC676" s="18"/>
      <c r="AD676" s="18"/>
      <c r="AE676" s="18"/>
      <c r="AF676" s="18"/>
      <c r="AG676" s="33"/>
      <c r="AH676" s="32"/>
    </row>
    <row r="677" spans="14:34" x14ac:dyDescent="0.25">
      <c r="N677" s="11"/>
      <c r="P677" s="49"/>
      <c r="Q677" s="18"/>
      <c r="R677" s="18"/>
      <c r="S677" s="18"/>
      <c r="T677" s="18"/>
      <c r="U677" s="18"/>
      <c r="V677" s="18"/>
      <c r="W677" s="32"/>
      <c r="X677" s="18"/>
      <c r="Y677" s="18"/>
      <c r="Z677" s="32"/>
      <c r="AA677" s="18"/>
      <c r="AB677" s="18"/>
      <c r="AC677" s="18"/>
      <c r="AD677" s="18"/>
      <c r="AE677" s="18"/>
      <c r="AF677" s="18"/>
      <c r="AG677" s="33"/>
      <c r="AH677" s="32"/>
    </row>
    <row r="678" spans="14:34" x14ac:dyDescent="0.25">
      <c r="N678" s="11"/>
      <c r="P678" s="49"/>
      <c r="Q678" s="18"/>
      <c r="R678" s="18"/>
      <c r="S678" s="18"/>
      <c r="T678" s="18"/>
      <c r="U678" s="18"/>
      <c r="V678" s="18"/>
      <c r="W678" s="32"/>
      <c r="X678" s="18"/>
      <c r="Y678" s="18"/>
      <c r="Z678" s="32"/>
      <c r="AA678" s="18"/>
      <c r="AB678" s="18"/>
      <c r="AC678" s="18"/>
      <c r="AD678" s="18"/>
      <c r="AE678" s="18"/>
      <c r="AF678" s="18"/>
      <c r="AG678" s="33"/>
      <c r="AH678" s="32"/>
    </row>
    <row r="679" spans="14:34" x14ac:dyDescent="0.25">
      <c r="N679" s="11"/>
      <c r="P679" s="49"/>
      <c r="Q679" s="18"/>
      <c r="R679" s="18"/>
      <c r="S679" s="18"/>
      <c r="T679" s="18"/>
      <c r="U679" s="18"/>
      <c r="V679" s="18"/>
      <c r="W679" s="32"/>
      <c r="X679" s="18"/>
      <c r="Y679" s="18"/>
      <c r="Z679" s="32"/>
      <c r="AA679" s="18"/>
      <c r="AB679" s="18"/>
      <c r="AC679" s="18"/>
      <c r="AD679" s="18"/>
      <c r="AE679" s="18"/>
      <c r="AF679" s="18"/>
      <c r="AG679" s="33"/>
      <c r="AH679" s="32"/>
    </row>
    <row r="680" spans="14:34" x14ac:dyDescent="0.25">
      <c r="N680" s="11"/>
      <c r="P680" s="49"/>
      <c r="Q680" s="18"/>
      <c r="R680" s="18"/>
      <c r="S680" s="18"/>
      <c r="T680" s="18"/>
      <c r="U680" s="18"/>
      <c r="V680" s="18"/>
      <c r="W680" s="32"/>
      <c r="X680" s="18"/>
      <c r="Y680" s="18"/>
      <c r="Z680" s="32"/>
      <c r="AA680" s="18"/>
      <c r="AB680" s="18"/>
      <c r="AC680" s="18"/>
      <c r="AD680" s="18"/>
      <c r="AE680" s="18"/>
      <c r="AF680" s="18"/>
      <c r="AG680" s="33"/>
      <c r="AH680" s="32"/>
    </row>
    <row r="681" spans="14:34" x14ac:dyDescent="0.25">
      <c r="N681" s="11"/>
      <c r="P681" s="49"/>
      <c r="Q681" s="18"/>
      <c r="R681" s="18"/>
      <c r="S681" s="18"/>
      <c r="T681" s="18"/>
      <c r="U681" s="18"/>
      <c r="V681" s="18"/>
      <c r="W681" s="32"/>
      <c r="X681" s="18"/>
      <c r="Y681" s="18"/>
      <c r="Z681" s="32"/>
      <c r="AA681" s="18"/>
      <c r="AB681" s="18"/>
      <c r="AC681" s="18"/>
      <c r="AD681" s="18"/>
      <c r="AE681" s="18"/>
      <c r="AF681" s="18"/>
      <c r="AG681" s="33"/>
      <c r="AH681" s="32"/>
    </row>
    <row r="682" spans="14:34" x14ac:dyDescent="0.25">
      <c r="N682" s="11"/>
      <c r="P682" s="49"/>
      <c r="Q682" s="18"/>
      <c r="R682" s="18"/>
      <c r="S682" s="18"/>
      <c r="T682" s="18"/>
      <c r="U682" s="18"/>
      <c r="V682" s="18"/>
      <c r="W682" s="32"/>
      <c r="X682" s="18"/>
      <c r="Y682" s="18"/>
      <c r="Z682" s="32"/>
      <c r="AA682" s="18"/>
      <c r="AB682" s="18"/>
      <c r="AC682" s="18"/>
      <c r="AD682" s="18"/>
      <c r="AE682" s="18"/>
      <c r="AF682" s="18"/>
      <c r="AG682" s="33"/>
      <c r="AH682" s="32"/>
    </row>
    <row r="683" spans="14:34" x14ac:dyDescent="0.25">
      <c r="N683" s="11"/>
      <c r="P683" s="49"/>
      <c r="Q683" s="18"/>
      <c r="R683" s="18"/>
      <c r="S683" s="18"/>
      <c r="T683" s="18"/>
      <c r="U683" s="18"/>
      <c r="V683" s="18"/>
      <c r="W683" s="32"/>
      <c r="X683" s="18"/>
      <c r="Y683" s="18"/>
      <c r="Z683" s="32"/>
      <c r="AA683" s="18"/>
      <c r="AB683" s="18"/>
      <c r="AC683" s="18"/>
      <c r="AD683" s="18"/>
      <c r="AE683" s="18"/>
      <c r="AF683" s="18"/>
      <c r="AG683" s="33"/>
      <c r="AH683" s="32"/>
    </row>
    <row r="684" spans="14:34" x14ac:dyDescent="0.25">
      <c r="N684" s="11"/>
      <c r="P684" s="49"/>
      <c r="Q684" s="18"/>
      <c r="R684" s="18"/>
      <c r="S684" s="18"/>
      <c r="T684" s="18"/>
      <c r="U684" s="18"/>
      <c r="V684" s="18"/>
      <c r="W684" s="32"/>
      <c r="X684" s="18"/>
      <c r="Y684" s="18"/>
      <c r="Z684" s="32"/>
      <c r="AA684" s="18"/>
      <c r="AB684" s="18"/>
      <c r="AC684" s="18"/>
      <c r="AD684" s="18"/>
      <c r="AE684" s="18"/>
      <c r="AF684" s="18"/>
      <c r="AG684" s="33"/>
      <c r="AH684" s="32"/>
    </row>
    <row r="685" spans="14:34" x14ac:dyDescent="0.25">
      <c r="N685" s="11"/>
      <c r="P685" s="49"/>
      <c r="Q685" s="18"/>
      <c r="R685" s="18"/>
      <c r="S685" s="18"/>
      <c r="T685" s="18"/>
      <c r="U685" s="18"/>
      <c r="V685" s="18"/>
      <c r="W685" s="32"/>
      <c r="X685" s="18"/>
      <c r="Y685" s="18"/>
      <c r="Z685" s="32"/>
      <c r="AA685" s="18"/>
      <c r="AB685" s="18"/>
      <c r="AC685" s="18"/>
      <c r="AD685" s="18"/>
      <c r="AE685" s="18"/>
      <c r="AF685" s="18"/>
      <c r="AG685" s="33"/>
      <c r="AH685" s="32"/>
    </row>
    <row r="686" spans="14:34" x14ac:dyDescent="0.25">
      <c r="N686" s="11"/>
      <c r="P686" s="49"/>
      <c r="Q686" s="18"/>
      <c r="R686" s="18"/>
      <c r="S686" s="18"/>
      <c r="T686" s="18"/>
      <c r="U686" s="18"/>
      <c r="V686" s="18"/>
      <c r="W686" s="32"/>
      <c r="X686" s="18"/>
      <c r="Y686" s="18"/>
      <c r="Z686" s="32"/>
      <c r="AA686" s="18"/>
      <c r="AB686" s="18"/>
      <c r="AC686" s="18"/>
      <c r="AD686" s="18"/>
      <c r="AE686" s="18"/>
      <c r="AF686" s="18"/>
      <c r="AG686" s="33"/>
      <c r="AH686" s="32"/>
    </row>
    <row r="687" spans="14:34" x14ac:dyDescent="0.25">
      <c r="N687" s="11"/>
      <c r="P687" s="49"/>
      <c r="Q687" s="18"/>
      <c r="R687" s="18"/>
      <c r="S687" s="18"/>
      <c r="T687" s="18"/>
      <c r="U687" s="18"/>
      <c r="V687" s="18"/>
      <c r="W687" s="32"/>
      <c r="X687" s="18"/>
      <c r="Y687" s="18"/>
      <c r="Z687" s="32"/>
      <c r="AA687" s="18"/>
      <c r="AB687" s="18"/>
      <c r="AC687" s="18"/>
      <c r="AD687" s="18"/>
      <c r="AE687" s="18"/>
      <c r="AF687" s="18"/>
      <c r="AG687" s="33"/>
      <c r="AH687" s="32"/>
    </row>
    <row r="688" spans="14:34" x14ac:dyDescent="0.25">
      <c r="N688" s="11"/>
      <c r="P688" s="49"/>
      <c r="Q688" s="18"/>
      <c r="R688" s="18"/>
      <c r="S688" s="18"/>
      <c r="T688" s="18"/>
      <c r="U688" s="18"/>
      <c r="V688" s="18"/>
      <c r="W688" s="32"/>
      <c r="X688" s="18"/>
      <c r="Y688" s="18"/>
      <c r="Z688" s="32"/>
      <c r="AA688" s="18"/>
      <c r="AB688" s="18"/>
      <c r="AC688" s="18"/>
      <c r="AD688" s="18"/>
      <c r="AE688" s="18"/>
      <c r="AF688" s="18"/>
      <c r="AG688" s="33"/>
      <c r="AH688" s="32"/>
    </row>
    <row r="689" spans="14:34" x14ac:dyDescent="0.25">
      <c r="N689" s="11"/>
      <c r="P689" s="49"/>
      <c r="Q689" s="18"/>
      <c r="R689" s="18"/>
      <c r="S689" s="18"/>
      <c r="T689" s="18"/>
      <c r="U689" s="18"/>
      <c r="V689" s="18"/>
      <c r="W689" s="32"/>
      <c r="X689" s="18"/>
      <c r="Y689" s="18"/>
      <c r="Z689" s="32"/>
      <c r="AA689" s="18"/>
      <c r="AB689" s="18"/>
      <c r="AC689" s="18"/>
      <c r="AD689" s="18"/>
      <c r="AE689" s="18"/>
      <c r="AF689" s="18"/>
      <c r="AG689" s="33"/>
      <c r="AH689" s="32"/>
    </row>
    <row r="690" spans="14:34" x14ac:dyDescent="0.25">
      <c r="N690" s="11"/>
      <c r="P690" s="49"/>
      <c r="Q690" s="18"/>
      <c r="R690" s="18"/>
      <c r="S690" s="18"/>
      <c r="T690" s="18"/>
      <c r="U690" s="18"/>
      <c r="V690" s="18"/>
      <c r="W690" s="32"/>
      <c r="X690" s="18"/>
      <c r="Y690" s="18"/>
      <c r="Z690" s="32"/>
      <c r="AA690" s="18"/>
      <c r="AB690" s="18"/>
      <c r="AC690" s="18"/>
      <c r="AD690" s="18"/>
      <c r="AE690" s="18"/>
      <c r="AF690" s="18"/>
      <c r="AG690" s="33"/>
      <c r="AH690" s="32"/>
    </row>
    <row r="691" spans="14:34" x14ac:dyDescent="0.25">
      <c r="N691" s="11"/>
      <c r="P691" s="49"/>
      <c r="Q691" s="18"/>
      <c r="R691" s="18"/>
      <c r="S691" s="18"/>
      <c r="T691" s="18"/>
      <c r="U691" s="18"/>
      <c r="V691" s="18"/>
      <c r="W691" s="32"/>
      <c r="X691" s="18"/>
      <c r="Y691" s="18"/>
      <c r="Z691" s="32"/>
      <c r="AA691" s="18"/>
      <c r="AB691" s="18"/>
      <c r="AC691" s="18"/>
      <c r="AD691" s="18"/>
      <c r="AE691" s="18"/>
      <c r="AF691" s="18"/>
      <c r="AG691" s="33"/>
      <c r="AH691" s="32"/>
    </row>
    <row r="692" spans="14:34" x14ac:dyDescent="0.25">
      <c r="N692" s="11"/>
      <c r="P692" s="49"/>
      <c r="Q692" s="18"/>
      <c r="R692" s="18"/>
      <c r="S692" s="18"/>
      <c r="T692" s="18"/>
      <c r="U692" s="18"/>
      <c r="V692" s="18"/>
      <c r="W692" s="32"/>
      <c r="X692" s="18"/>
      <c r="Y692" s="18"/>
      <c r="Z692" s="32"/>
      <c r="AA692" s="18"/>
      <c r="AB692" s="18"/>
      <c r="AC692" s="18"/>
      <c r="AD692" s="18"/>
      <c r="AE692" s="18"/>
      <c r="AF692" s="18"/>
      <c r="AG692" s="33"/>
      <c r="AH692" s="32"/>
    </row>
    <row r="693" spans="14:34" x14ac:dyDescent="0.25">
      <c r="N693" s="11"/>
      <c r="P693" s="49"/>
      <c r="Q693" s="18"/>
      <c r="R693" s="18"/>
      <c r="S693" s="18"/>
      <c r="T693" s="18"/>
      <c r="U693" s="18"/>
      <c r="V693" s="18"/>
      <c r="W693" s="32"/>
      <c r="X693" s="18"/>
      <c r="Y693" s="18"/>
      <c r="Z693" s="32"/>
      <c r="AA693" s="18"/>
      <c r="AB693" s="18"/>
      <c r="AC693" s="18"/>
      <c r="AD693" s="18"/>
      <c r="AE693" s="18"/>
      <c r="AF693" s="18"/>
      <c r="AG693" s="33"/>
      <c r="AH693" s="32"/>
    </row>
    <row r="694" spans="14:34" x14ac:dyDescent="0.25">
      <c r="N694" s="11"/>
      <c r="P694" s="49"/>
      <c r="Q694" s="18"/>
      <c r="R694" s="18"/>
      <c r="S694" s="18"/>
      <c r="T694" s="18"/>
      <c r="U694" s="18"/>
      <c r="V694" s="18"/>
      <c r="W694" s="32"/>
      <c r="X694" s="18"/>
      <c r="Y694" s="18"/>
      <c r="Z694" s="32"/>
      <c r="AA694" s="18"/>
      <c r="AB694" s="18"/>
      <c r="AC694" s="18"/>
      <c r="AD694" s="18"/>
      <c r="AE694" s="18"/>
      <c r="AF694" s="18"/>
      <c r="AG694" s="33"/>
      <c r="AH694" s="32"/>
    </row>
    <row r="695" spans="14:34" x14ac:dyDescent="0.25">
      <c r="N695" s="11"/>
      <c r="P695" s="49"/>
      <c r="Q695" s="18"/>
      <c r="R695" s="18"/>
      <c r="S695" s="18"/>
      <c r="T695" s="18"/>
      <c r="U695" s="18"/>
      <c r="V695" s="18"/>
      <c r="W695" s="32"/>
      <c r="X695" s="18"/>
      <c r="Y695" s="18"/>
      <c r="Z695" s="32"/>
      <c r="AA695" s="18"/>
      <c r="AB695" s="18"/>
      <c r="AC695" s="18"/>
      <c r="AD695" s="18"/>
      <c r="AE695" s="18"/>
      <c r="AF695" s="18"/>
      <c r="AG695" s="33"/>
      <c r="AH695" s="32"/>
    </row>
    <row r="696" spans="14:34" x14ac:dyDescent="0.25">
      <c r="N696" s="11"/>
      <c r="P696" s="49"/>
      <c r="Q696" s="18"/>
      <c r="R696" s="18"/>
      <c r="S696" s="18"/>
      <c r="T696" s="18"/>
      <c r="U696" s="18"/>
      <c r="V696" s="18"/>
      <c r="W696" s="32"/>
      <c r="X696" s="18"/>
      <c r="Y696" s="18"/>
      <c r="Z696" s="32"/>
      <c r="AA696" s="18"/>
      <c r="AB696" s="18"/>
      <c r="AC696" s="18"/>
      <c r="AD696" s="18"/>
      <c r="AE696" s="18"/>
      <c r="AF696" s="18"/>
      <c r="AG696" s="33"/>
      <c r="AH696" s="32"/>
    </row>
    <row r="697" spans="14:34" x14ac:dyDescent="0.25">
      <c r="N697" s="11"/>
      <c r="P697" s="49"/>
      <c r="Q697" s="18"/>
      <c r="R697" s="18"/>
      <c r="S697" s="18"/>
      <c r="T697" s="18"/>
      <c r="U697" s="18"/>
      <c r="V697" s="18"/>
      <c r="W697" s="32"/>
      <c r="X697" s="18"/>
      <c r="Y697" s="18"/>
      <c r="Z697" s="32"/>
      <c r="AA697" s="18"/>
      <c r="AB697" s="18"/>
      <c r="AC697" s="18"/>
      <c r="AD697" s="18"/>
      <c r="AE697" s="18"/>
      <c r="AF697" s="18"/>
      <c r="AG697" s="33"/>
      <c r="AH697" s="32"/>
    </row>
    <row r="698" spans="14:34" x14ac:dyDescent="0.25">
      <c r="N698" s="11"/>
      <c r="P698" s="49"/>
      <c r="Q698" s="18"/>
      <c r="R698" s="18"/>
      <c r="S698" s="18"/>
      <c r="T698" s="18"/>
      <c r="U698" s="18"/>
      <c r="V698" s="18"/>
      <c r="W698" s="32"/>
      <c r="X698" s="18"/>
      <c r="Y698" s="18"/>
      <c r="Z698" s="32"/>
      <c r="AA698" s="18"/>
      <c r="AB698" s="18"/>
      <c r="AC698" s="18"/>
      <c r="AD698" s="18"/>
      <c r="AE698" s="18"/>
      <c r="AF698" s="18"/>
      <c r="AG698" s="33"/>
      <c r="AH698" s="32"/>
    </row>
    <row r="699" spans="14:34" x14ac:dyDescent="0.25">
      <c r="N699" s="11"/>
      <c r="P699" s="49"/>
      <c r="Q699" s="18"/>
      <c r="R699" s="18"/>
      <c r="S699" s="18"/>
      <c r="T699" s="18"/>
      <c r="U699" s="18"/>
      <c r="V699" s="18"/>
      <c r="W699" s="32"/>
      <c r="X699" s="18"/>
      <c r="Y699" s="18"/>
      <c r="Z699" s="32"/>
      <c r="AA699" s="18"/>
      <c r="AB699" s="18"/>
      <c r="AC699" s="18"/>
      <c r="AD699" s="18"/>
      <c r="AE699" s="18"/>
      <c r="AF699" s="18"/>
      <c r="AG699" s="33"/>
      <c r="AH699" s="32"/>
    </row>
    <row r="700" spans="14:34" x14ac:dyDescent="0.25">
      <c r="N700" s="11"/>
      <c r="P700" s="49"/>
      <c r="Q700" s="18"/>
      <c r="R700" s="18"/>
      <c r="S700" s="18"/>
      <c r="T700" s="18"/>
      <c r="U700" s="18"/>
      <c r="V700" s="18"/>
      <c r="W700" s="32"/>
      <c r="X700" s="18"/>
      <c r="Y700" s="18"/>
      <c r="Z700" s="32"/>
      <c r="AA700" s="18"/>
      <c r="AB700" s="18"/>
      <c r="AC700" s="18"/>
      <c r="AD700" s="18"/>
      <c r="AE700" s="18"/>
      <c r="AF700" s="18"/>
      <c r="AG700" s="33"/>
      <c r="AH700" s="32"/>
    </row>
    <row r="701" spans="14:34" x14ac:dyDescent="0.25">
      <c r="N701" s="11"/>
      <c r="P701" s="49"/>
      <c r="Q701" s="18"/>
      <c r="R701" s="18"/>
      <c r="S701" s="18"/>
      <c r="T701" s="18"/>
      <c r="U701" s="18"/>
      <c r="V701" s="18"/>
      <c r="W701" s="32"/>
      <c r="X701" s="18"/>
      <c r="Y701" s="18"/>
      <c r="Z701" s="32"/>
      <c r="AA701" s="18"/>
      <c r="AB701" s="18"/>
      <c r="AC701" s="18"/>
      <c r="AD701" s="18"/>
      <c r="AE701" s="18"/>
      <c r="AF701" s="18"/>
      <c r="AG701" s="33"/>
      <c r="AH701" s="32"/>
    </row>
    <row r="702" spans="14:34" x14ac:dyDescent="0.25">
      <c r="N702" s="11"/>
      <c r="P702" s="49"/>
      <c r="Q702" s="18"/>
      <c r="R702" s="18"/>
      <c r="S702" s="18"/>
      <c r="T702" s="18"/>
      <c r="U702" s="18"/>
      <c r="V702" s="18"/>
      <c r="W702" s="32"/>
      <c r="X702" s="18"/>
      <c r="Y702" s="18"/>
      <c r="Z702" s="32"/>
      <c r="AA702" s="18"/>
      <c r="AB702" s="18"/>
      <c r="AC702" s="18"/>
      <c r="AD702" s="18"/>
      <c r="AE702" s="18"/>
      <c r="AF702" s="18"/>
      <c r="AG702" s="33"/>
      <c r="AH702" s="32"/>
    </row>
    <row r="703" spans="14:34" x14ac:dyDescent="0.25">
      <c r="N703" s="11"/>
      <c r="P703" s="49"/>
      <c r="Q703" s="18"/>
      <c r="R703" s="18"/>
      <c r="S703" s="18"/>
      <c r="T703" s="18"/>
      <c r="U703" s="18"/>
      <c r="V703" s="18"/>
      <c r="W703" s="32"/>
      <c r="X703" s="18"/>
      <c r="Y703" s="18"/>
      <c r="Z703" s="32"/>
      <c r="AA703" s="18"/>
      <c r="AB703" s="18"/>
      <c r="AC703" s="18"/>
      <c r="AD703" s="18"/>
      <c r="AE703" s="18"/>
      <c r="AF703" s="18"/>
      <c r="AG703" s="33"/>
      <c r="AH703" s="32"/>
    </row>
    <row r="704" spans="14:34" x14ac:dyDescent="0.25">
      <c r="N704" s="11"/>
      <c r="P704" s="49"/>
      <c r="Q704" s="18"/>
      <c r="R704" s="18"/>
      <c r="S704" s="18"/>
      <c r="T704" s="18"/>
      <c r="U704" s="18"/>
      <c r="V704" s="18"/>
      <c r="W704" s="32"/>
      <c r="X704" s="18"/>
      <c r="Y704" s="18"/>
      <c r="Z704" s="32"/>
      <c r="AA704" s="18"/>
      <c r="AB704" s="18"/>
      <c r="AC704" s="18"/>
      <c r="AD704" s="18"/>
      <c r="AE704" s="18"/>
      <c r="AF704" s="18"/>
      <c r="AG704" s="33"/>
      <c r="AH704" s="32"/>
    </row>
    <row r="705" spans="14:34" x14ac:dyDescent="0.25">
      <c r="N705" s="11"/>
      <c r="P705" s="49"/>
      <c r="Q705" s="18"/>
      <c r="R705" s="18"/>
      <c r="S705" s="18"/>
      <c r="T705" s="18"/>
      <c r="U705" s="18"/>
      <c r="V705" s="18"/>
      <c r="W705" s="32"/>
      <c r="X705" s="18"/>
      <c r="Y705" s="18"/>
      <c r="Z705" s="32"/>
      <c r="AA705" s="18"/>
      <c r="AB705" s="18"/>
      <c r="AC705" s="18"/>
      <c r="AD705" s="18"/>
      <c r="AE705" s="18"/>
      <c r="AF705" s="18"/>
      <c r="AG705" s="33"/>
      <c r="AH705" s="32"/>
    </row>
    <row r="706" spans="14:34" x14ac:dyDescent="0.25">
      <c r="N706" s="11"/>
      <c r="P706" s="49"/>
      <c r="Q706" s="18"/>
      <c r="R706" s="18"/>
      <c r="S706" s="18"/>
      <c r="T706" s="18"/>
      <c r="U706" s="18"/>
      <c r="V706" s="18"/>
      <c r="W706" s="32"/>
      <c r="X706" s="18"/>
      <c r="Y706" s="18"/>
      <c r="Z706" s="32"/>
      <c r="AA706" s="18"/>
      <c r="AB706" s="18"/>
      <c r="AC706" s="18"/>
      <c r="AD706" s="18"/>
      <c r="AE706" s="18"/>
      <c r="AF706" s="18"/>
      <c r="AG706" s="33"/>
      <c r="AH706" s="32"/>
    </row>
    <row r="707" spans="14:34" x14ac:dyDescent="0.25">
      <c r="N707" s="11"/>
      <c r="P707" s="49"/>
      <c r="Q707" s="18"/>
      <c r="R707" s="18"/>
      <c r="S707" s="18"/>
      <c r="T707" s="18"/>
      <c r="U707" s="18"/>
      <c r="V707" s="18"/>
      <c r="W707" s="32"/>
      <c r="X707" s="18"/>
      <c r="Y707" s="18"/>
      <c r="Z707" s="32"/>
      <c r="AA707" s="18"/>
      <c r="AB707" s="18"/>
      <c r="AC707" s="18"/>
      <c r="AD707" s="18"/>
      <c r="AE707" s="18"/>
      <c r="AF707" s="18"/>
      <c r="AG707" s="33"/>
      <c r="AH707" s="32"/>
    </row>
    <row r="708" spans="14:34" x14ac:dyDescent="0.25">
      <c r="N708" s="11"/>
      <c r="P708" s="49"/>
      <c r="Q708" s="18"/>
      <c r="R708" s="18"/>
      <c r="S708" s="18"/>
      <c r="T708" s="18"/>
      <c r="U708" s="18"/>
      <c r="V708" s="18"/>
      <c r="W708" s="32"/>
      <c r="X708" s="18"/>
      <c r="Y708" s="18"/>
      <c r="Z708" s="32"/>
      <c r="AA708" s="18"/>
      <c r="AB708" s="18"/>
      <c r="AC708" s="18"/>
      <c r="AD708" s="18"/>
      <c r="AE708" s="18"/>
      <c r="AF708" s="18"/>
      <c r="AG708" s="33"/>
      <c r="AH708" s="32"/>
    </row>
  </sheetData>
  <mergeCells count="48">
    <mergeCell ref="AC5:AE5"/>
    <mergeCell ref="AI4:AU4"/>
    <mergeCell ref="BO16:BP16"/>
    <mergeCell ref="BL16:BN16"/>
    <mergeCell ref="BL17:BN17"/>
    <mergeCell ref="BL4:BN4"/>
    <mergeCell ref="BL5:BN5"/>
    <mergeCell ref="BI5:BK5"/>
    <mergeCell ref="AJ5:AL5"/>
    <mergeCell ref="AM5:AO5"/>
    <mergeCell ref="AP5:AR5"/>
    <mergeCell ref="AS5:AU5"/>
    <mergeCell ref="BF17:BH17"/>
    <mergeCell ref="BI16:BK16"/>
    <mergeCell ref="BI17:BK17"/>
    <mergeCell ref="AW17:AY17"/>
    <mergeCell ref="AZ17:BB17"/>
    <mergeCell ref="A1:M1"/>
    <mergeCell ref="N1:X1"/>
    <mergeCell ref="P4:AH4"/>
    <mergeCell ref="BO5:BP5"/>
    <mergeCell ref="BO4:BP4"/>
    <mergeCell ref="AV4:BH4"/>
    <mergeCell ref="BI4:BK4"/>
    <mergeCell ref="Q5:S5"/>
    <mergeCell ref="T5:V5"/>
    <mergeCell ref="W5:Y5"/>
    <mergeCell ref="Z5:AB5"/>
    <mergeCell ref="AF5:AH5"/>
    <mergeCell ref="AW5:AY5"/>
    <mergeCell ref="AZ5:BB5"/>
    <mergeCell ref="BC5:BE5"/>
    <mergeCell ref="BF5:BH5"/>
    <mergeCell ref="E6:K6"/>
    <mergeCell ref="Q17:S17"/>
    <mergeCell ref="T17:V17"/>
    <mergeCell ref="W17:Y17"/>
    <mergeCell ref="P16:AH16"/>
    <mergeCell ref="Z17:AB17"/>
    <mergeCell ref="AF17:AH17"/>
    <mergeCell ref="AC17:AE17"/>
    <mergeCell ref="BC17:BE17"/>
    <mergeCell ref="AV16:BH16"/>
    <mergeCell ref="AI16:AU16"/>
    <mergeCell ref="AJ17:AL17"/>
    <mergeCell ref="AM17:AO17"/>
    <mergeCell ref="AP17:AR17"/>
    <mergeCell ref="AS17:AU17"/>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W207"/>
  <sheetViews>
    <sheetView topLeftCell="M1" zoomScale="70" zoomScaleNormal="70" workbookViewId="0">
      <pane ySplit="6" topLeftCell="A7" activePane="bottomLeft" state="frozen"/>
      <selection activeCell="R1" sqref="R1"/>
      <selection pane="bottomLeft" activeCell="AH8" sqref="AH8"/>
    </sheetView>
  </sheetViews>
  <sheetFormatPr defaultRowHeight="15" x14ac:dyDescent="0.25"/>
  <cols>
    <col min="10" max="10" width="10" bestFit="1" customWidth="1"/>
    <col min="18" max="18" width="8.7109375" style="32"/>
    <col min="21" max="21" width="8.7109375" style="32"/>
    <col min="24" max="24" width="8.7109375" style="32"/>
    <col min="25" max="25" width="12" bestFit="1" customWidth="1"/>
    <col min="28" max="28" width="8.7109375" style="32"/>
    <col min="30" max="30" width="8.7109375" style="32"/>
    <col min="35" max="35" width="8.7109375" style="32"/>
    <col min="39" max="39" width="11" bestFit="1" customWidth="1"/>
    <col min="40" max="40" width="11" style="32" customWidth="1"/>
    <col min="43" max="46" width="8.7109375" style="32"/>
  </cols>
  <sheetData>
    <row r="1" spans="1:49" ht="27.75" x14ac:dyDescent="0.4">
      <c r="A1" s="365" t="s">
        <v>9</v>
      </c>
      <c r="B1" s="365"/>
      <c r="C1" s="365"/>
      <c r="D1" s="365"/>
      <c r="E1" s="365"/>
      <c r="F1" s="365"/>
      <c r="G1" s="365"/>
      <c r="H1" s="365"/>
      <c r="I1" s="365"/>
      <c r="J1" s="365"/>
      <c r="K1" s="365"/>
      <c r="L1" s="365"/>
      <c r="M1" s="365"/>
    </row>
    <row r="4" spans="1:49" ht="15.75" thickBot="1" x14ac:dyDescent="0.3">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row>
    <row r="5" spans="1:49" ht="30" x14ac:dyDescent="0.25">
      <c r="Q5" s="32"/>
      <c r="R5" s="387" t="s">
        <v>249</v>
      </c>
      <c r="S5" s="388"/>
      <c r="T5" s="388"/>
      <c r="U5" s="389"/>
      <c r="V5" s="387" t="s">
        <v>250</v>
      </c>
      <c r="W5" s="388"/>
      <c r="X5" s="389"/>
      <c r="Y5" s="387" t="s">
        <v>313</v>
      </c>
      <c r="Z5" s="388"/>
      <c r="AA5" s="388"/>
      <c r="AB5" s="388"/>
      <c r="AC5" s="388"/>
      <c r="AD5" s="389"/>
      <c r="AE5" s="387" t="s">
        <v>453</v>
      </c>
      <c r="AF5" s="388"/>
      <c r="AG5" s="388"/>
      <c r="AH5" s="388"/>
      <c r="AI5" s="389"/>
      <c r="AJ5" s="387" t="s">
        <v>454</v>
      </c>
      <c r="AK5" s="388"/>
      <c r="AL5" s="388"/>
      <c r="AM5" s="388"/>
      <c r="AN5" s="390"/>
      <c r="AO5" s="389"/>
      <c r="AP5" s="383" t="s">
        <v>310</v>
      </c>
      <c r="AQ5" s="384"/>
      <c r="AR5" s="384"/>
      <c r="AS5" s="385"/>
      <c r="AT5" s="386"/>
      <c r="AU5" s="108" t="s">
        <v>303</v>
      </c>
      <c r="AV5" s="109"/>
      <c r="AW5" s="110"/>
    </row>
    <row r="6" spans="1:49" ht="18" x14ac:dyDescent="0.35">
      <c r="R6" s="94" t="s">
        <v>25</v>
      </c>
      <c r="S6" s="92" t="s">
        <v>26</v>
      </c>
      <c r="T6" s="92" t="s">
        <v>232</v>
      </c>
      <c r="U6" s="95" t="s">
        <v>235</v>
      </c>
      <c r="V6" s="94" t="s">
        <v>233</v>
      </c>
      <c r="W6" s="92" t="s">
        <v>234</v>
      </c>
      <c r="X6" s="95" t="s">
        <v>254</v>
      </c>
      <c r="Y6" s="105" t="s">
        <v>251</v>
      </c>
      <c r="Z6" s="102" t="s">
        <v>253</v>
      </c>
      <c r="AA6" s="102" t="s">
        <v>252</v>
      </c>
      <c r="AB6" s="103" t="s">
        <v>257</v>
      </c>
      <c r="AC6" s="103" t="s">
        <v>258</v>
      </c>
      <c r="AD6" s="106" t="s">
        <v>301</v>
      </c>
      <c r="AE6" s="105" t="s">
        <v>296</v>
      </c>
      <c r="AF6" s="102" t="s">
        <v>297</v>
      </c>
      <c r="AG6" s="103" t="s">
        <v>299</v>
      </c>
      <c r="AH6" s="103" t="s">
        <v>298</v>
      </c>
      <c r="AI6" s="106" t="s">
        <v>300</v>
      </c>
      <c r="AJ6" s="105" t="s">
        <v>256</v>
      </c>
      <c r="AK6" s="102" t="s">
        <v>459</v>
      </c>
      <c r="AL6" s="102" t="s">
        <v>259</v>
      </c>
      <c r="AM6" s="102" t="s">
        <v>260</v>
      </c>
      <c r="AN6" s="210" t="s">
        <v>460</v>
      </c>
      <c r="AO6" s="107" t="s">
        <v>461</v>
      </c>
      <c r="AP6" s="105" t="s">
        <v>302</v>
      </c>
      <c r="AQ6" s="229" t="s">
        <v>258</v>
      </c>
      <c r="AR6" s="229" t="s">
        <v>462</v>
      </c>
      <c r="AS6" s="102" t="s">
        <v>305</v>
      </c>
      <c r="AT6" s="107" t="s">
        <v>306</v>
      </c>
      <c r="AU6" s="105" t="s">
        <v>304</v>
      </c>
      <c r="AV6" s="102" t="s">
        <v>312</v>
      </c>
      <c r="AW6" s="107" t="s">
        <v>311</v>
      </c>
    </row>
    <row r="7" spans="1:49" x14ac:dyDescent="0.25">
      <c r="Q7">
        <v>0</v>
      </c>
      <c r="R7" s="94">
        <f t="shared" ref="R7:R70" si="0">VOUT</f>
        <v>45</v>
      </c>
      <c r="S7" s="92">
        <f t="shared" ref="S7:S38" si="1">Q7*$O$12</f>
        <v>0</v>
      </c>
      <c r="T7" s="92">
        <f t="shared" ref="T7:T70" si="2">VIN_var</f>
        <v>14.4</v>
      </c>
      <c r="U7" s="95">
        <f t="shared" ref="U7:U38" si="3">(R7*S7)/(T7*EFF_est)</f>
        <v>0</v>
      </c>
      <c r="V7" s="94">
        <f>IF(Variable_Management!$B$23=3,2,IF((S7*R7/T7)&lt;((T7*(1-(T7/R7)))/(2*Lm*Fsw)),1,2))</f>
        <v>1</v>
      </c>
      <c r="W7" s="92">
        <f>CHOOSE(V7,SQRT((2*S7*Lm*Fsw*(R7-T7))/((T7)^2)),1-(T7/R7))</f>
        <v>0</v>
      </c>
      <c r="X7" s="95">
        <f t="shared" ref="X7:X38" si="4">CHOOSE(V7,(Lm*Z7*Fsw)/(R7-T7),1-W7)</f>
        <v>0</v>
      </c>
      <c r="Y7" s="94">
        <f t="shared" ref="Y7:Y38" si="5">(T7*W7)/(Lm*Fsw)</f>
        <v>0</v>
      </c>
      <c r="Z7" s="92">
        <f>CHOOSE(V7,Y7,U7+(0.5*Y7))</f>
        <v>0</v>
      </c>
      <c r="AA7" s="92">
        <f>CHOOSE(V7,Z7*SQRT((W7+X7)/3),SQRT((U7^2)+((Y7^2)/12)))</f>
        <v>0</v>
      </c>
      <c r="AB7" s="92">
        <v>0</v>
      </c>
      <c r="AC7" s="92">
        <f t="shared" ref="AC7:AC38" si="6">(AA7^2)*Rdcr</f>
        <v>0</v>
      </c>
      <c r="AD7" s="95">
        <f>AB7+AC7</f>
        <v>0</v>
      </c>
      <c r="AE7" s="94">
        <f>U7*W7</f>
        <v>0</v>
      </c>
      <c r="AF7" s="92">
        <f>CHOOSE(V7,Z7*SQRT(W7/3),SQRT(W7*((Z7^2)+((Y7^2)/3)-(Z7*Y7))))</f>
        <v>0</v>
      </c>
      <c r="AG7" s="92">
        <f t="shared" ref="AG7:AG38" si="7">(AF7^2)*RDS_on</f>
        <v>0</v>
      </c>
      <c r="AH7" s="92">
        <f>((R7*U7)/2)*Fsw*(tr_sw+tf_sw)</f>
        <v>0</v>
      </c>
      <c r="AI7" s="95">
        <f>AG7+AH7</f>
        <v>0</v>
      </c>
      <c r="AJ7" s="94">
        <f>X7*U7</f>
        <v>0</v>
      </c>
      <c r="AK7" s="92">
        <f>CHOOSE(V7,Z7*SQRT(X7/3),SQRT(X7*((Z7^2)+((Y7^2)/3)-(Y7*Z7))))</f>
        <v>0</v>
      </c>
      <c r="AL7" s="92">
        <f t="shared" ref="AL7:AL38" si="8">(AK7^2)*RDS_on_HS</f>
        <v>0</v>
      </c>
      <c r="AM7" s="92">
        <f>CHOOSE(V7,0,(R7+Vd_rect)*Qrr*Fsw)</f>
        <v>0</v>
      </c>
      <c r="AN7" s="211">
        <f>Vd_rect*t_dead*Fsw*Z7</f>
        <v>0</v>
      </c>
      <c r="AO7" s="95">
        <f>AL7+AM7+AN7</f>
        <v>0</v>
      </c>
      <c r="AP7" s="94">
        <f>(AA7^2)*R_cs</f>
        <v>0</v>
      </c>
      <c r="AQ7" s="230">
        <f t="shared" ref="AQ7:AQ38" si="9">Rdcr*AA7^2</f>
        <v>0</v>
      </c>
      <c r="AR7" s="230">
        <f t="shared" ref="AR7:AR38" si="10">ABS(7.759*10^-3*Fsw^0.9458*(0.00787*Y7)^2.304)</f>
        <v>0</v>
      </c>
      <c r="AS7" s="92">
        <f t="shared" ref="AS7:AS38" si="11">(Qg_tot+Qg_tot_HS)*Vcc*Fsw</f>
        <v>3.6000000000000004E-2</v>
      </c>
      <c r="AT7" s="95">
        <f t="shared" ref="AT7:AT38" si="12">IQ*T7</f>
        <v>4.7519999999999999E-5</v>
      </c>
      <c r="AU7" s="94">
        <f>AP7+AO7+AI7+AD7+AS7+AT7+AQ7+AR7</f>
        <v>3.6047520000000007E-2</v>
      </c>
      <c r="AV7" s="92">
        <f>R7*S7</f>
        <v>0</v>
      </c>
      <c r="AW7" s="95">
        <f>(AV7/(AV7+AU7))*100</f>
        <v>0</v>
      </c>
    </row>
    <row r="8" spans="1:49" x14ac:dyDescent="0.25">
      <c r="M8">
        <f>Fsw</f>
        <v>400000</v>
      </c>
      <c r="Q8">
        <v>1</v>
      </c>
      <c r="R8" s="94">
        <f t="shared" si="0"/>
        <v>45</v>
      </c>
      <c r="S8" s="92">
        <f t="shared" si="1"/>
        <v>7.3333333333333334E-2</v>
      </c>
      <c r="T8" s="92">
        <f t="shared" si="2"/>
        <v>14.4</v>
      </c>
      <c r="U8" s="95">
        <f t="shared" si="3"/>
        <v>0.22916666666666666</v>
      </c>
      <c r="V8" s="94">
        <f>IF(Variable_Management!$B$23=3,2,IF((S8*R8/T8)&lt;((T8*(1-(T8/R8)))/(2*Lm*Fsw)),1,2))</f>
        <v>1</v>
      </c>
      <c r="W8" s="92">
        <f t="shared" ref="W8:W38" si="13">CHOOSE(V8,SQRT((2*S8*Lm*Fsw*(R8-T8))/((T8)^2)),1-(T8/R8))</f>
        <v>0.16902498171703625</v>
      </c>
      <c r="X8" s="95">
        <f t="shared" si="4"/>
        <v>7.9541167866840595E-2</v>
      </c>
      <c r="Y8" s="94">
        <f t="shared" si="5"/>
        <v>1.8439088914585777</v>
      </c>
      <c r="Z8" s="92">
        <f t="shared" ref="Z8:Z15" si="14">CHOOSE(V8,Y8,U8+(0.5*Y8))</f>
        <v>1.8439088914585777</v>
      </c>
      <c r="AA8" s="92">
        <f t="shared" ref="AA8:AA15" si="15">CHOOSE(V8,Z8*SQRT((W8+X8)/3),SQRT((U8^2)+((Y8^2)/12)))</f>
        <v>0.53076200208919166</v>
      </c>
      <c r="AB8" s="92">
        <v>0</v>
      </c>
      <c r="AC8" s="92">
        <f t="shared" si="6"/>
        <v>1.6902498171703626E-3</v>
      </c>
      <c r="AD8" s="95">
        <f t="shared" ref="AD8:AD71" si="16">AB8+AC8</f>
        <v>1.6902498171703626E-3</v>
      </c>
      <c r="AE8" s="94">
        <f>U8*W8</f>
        <v>3.8734891643487472E-2</v>
      </c>
      <c r="AF8" s="92">
        <f t="shared" ref="AF8:AF71" si="17">CHOOSE(V8,Z8*SQRT(W8/3),SQRT(W8*((Z8^2)+((Y8^2)/3)-(Z8*Y8))))</f>
        <v>0.43767755933560776</v>
      </c>
      <c r="AG8" s="92">
        <f t="shared" si="7"/>
        <v>1.3409315216218211E-3</v>
      </c>
      <c r="AH8" s="92">
        <f t="shared" ref="AH8:AH38" si="18">((R8*U8)/2)*Fsw*(tr_sw+tf_sw)</f>
        <v>7.186104910714286E-2</v>
      </c>
      <c r="AI8" s="95">
        <f t="shared" ref="AI8:AI71" si="19">AG8+AH8</f>
        <v>7.3201980628764679E-2</v>
      </c>
      <c r="AJ8" s="94">
        <f t="shared" ref="AJ8:AJ71" si="20">X8*U8</f>
        <v>1.8228184302817637E-2</v>
      </c>
      <c r="AK8" s="92">
        <f t="shared" ref="AK8:AK38" si="21">CHOOSE(V8,Z8*SQRT(X8/3),SQRT(X8*((Z8^2)+((Y8^2)/3)-(Y8*Z8))))</f>
        <v>0.3002443286987328</v>
      </c>
      <c r="AL8" s="92">
        <f t="shared" si="8"/>
        <v>6.3102659841026895E-4</v>
      </c>
      <c r="AM8" s="92">
        <f t="shared" ref="AM8:AM39" si="22">CHOOSE(V8,(R8+Vd_rect)*Qrr*Fsw,(R8+Vd_rect)*Qrr*Fsw)</f>
        <v>0.34846000000000005</v>
      </c>
      <c r="AN8" s="211">
        <f t="shared" ref="AN8:AN38" si="23">Vd_rect*t_dead*Fsw*Z8</f>
        <v>3.1346451154795826E-2</v>
      </c>
      <c r="AO8" s="95">
        <f t="shared" ref="AO8:AO71" si="24">AL8+AM8+AN8</f>
        <v>0.38043747775320613</v>
      </c>
      <c r="AP8" s="94">
        <f t="shared" ref="AP8:AP38" si="25">(AA8^2)*R_cs</f>
        <v>4.2256245429259066E-4</v>
      </c>
      <c r="AQ8" s="230">
        <f t="shared" si="9"/>
        <v>1.6902498171703626E-3</v>
      </c>
      <c r="AR8" s="230">
        <f t="shared" si="10"/>
        <v>8.9706432855725576E-2</v>
      </c>
      <c r="AS8" s="92">
        <f t="shared" si="11"/>
        <v>3.6000000000000004E-2</v>
      </c>
      <c r="AT8" s="95">
        <f t="shared" si="12"/>
        <v>4.7519999999999999E-5</v>
      </c>
      <c r="AU8" s="94">
        <f t="shared" ref="AU8:AU71" si="26">AP8+AO8+AI8+AD8+AS8+AT8+AQ8+AR8</f>
        <v>0.58319647332632973</v>
      </c>
      <c r="AV8" s="92">
        <f t="shared" ref="AV8:AV71" si="27">R8*S8</f>
        <v>3.3</v>
      </c>
      <c r="AW8" s="95">
        <f t="shared" ref="AW8:AW71" si="28">(AV8/(AV8+AU8))*100</f>
        <v>84.98153577002077</v>
      </c>
    </row>
    <row r="9" spans="1:49" x14ac:dyDescent="0.25">
      <c r="N9" s="92" t="s">
        <v>162</v>
      </c>
      <c r="O9" s="92">
        <f>VIN_var</f>
        <v>14.4</v>
      </c>
      <c r="P9" t="s">
        <v>5</v>
      </c>
      <c r="Q9">
        <v>2</v>
      </c>
      <c r="R9" s="94">
        <f t="shared" si="0"/>
        <v>45</v>
      </c>
      <c r="S9" s="92">
        <f t="shared" si="1"/>
        <v>0.14666666666666667</v>
      </c>
      <c r="T9" s="92">
        <f t="shared" si="2"/>
        <v>14.4</v>
      </c>
      <c r="U9" s="95">
        <f t="shared" si="3"/>
        <v>0.45833333333333331</v>
      </c>
      <c r="V9" s="94">
        <f>IF(Variable_Management!$B$23=3,2,IF((S9*R9/T9)&lt;((T9*(1-(T9/R9)))/(2*Lm*Fsw)),1,2))</f>
        <v>1</v>
      </c>
      <c r="W9" s="92">
        <f t="shared" si="13"/>
        <v>0.2390374215240971</v>
      </c>
      <c r="X9" s="95">
        <f t="shared" si="4"/>
        <v>0.11248819836428099</v>
      </c>
      <c r="Y9" s="94">
        <f t="shared" si="5"/>
        <v>2.6076809620810595</v>
      </c>
      <c r="Z9" s="92">
        <f t="shared" si="14"/>
        <v>2.6076809620810595</v>
      </c>
      <c r="AA9" s="92">
        <f t="shared" si="15"/>
        <v>0.89263172981937167</v>
      </c>
      <c r="AB9" s="92">
        <v>0</v>
      </c>
      <c r="AC9" s="92">
        <f t="shared" si="6"/>
        <v>4.7807484304819422E-3</v>
      </c>
      <c r="AD9" s="95">
        <f t="shared" si="16"/>
        <v>4.7807484304819422E-3</v>
      </c>
      <c r="AE9" s="94">
        <f t="shared" ref="AE9:AE72" si="29">U9*W9</f>
        <v>0.1095588181985445</v>
      </c>
      <c r="AF9" s="92">
        <f t="shared" si="17"/>
        <v>0.73608298136461492</v>
      </c>
      <c r="AG9" s="92">
        <f t="shared" si="7"/>
        <v>3.7927270881823408E-3</v>
      </c>
      <c r="AH9" s="92">
        <f t="shared" si="18"/>
        <v>0.14372209821428572</v>
      </c>
      <c r="AI9" s="95">
        <f t="shared" si="19"/>
        <v>0.14751482530246807</v>
      </c>
      <c r="AJ9" s="94">
        <f t="shared" si="20"/>
        <v>5.1557090916962117E-2</v>
      </c>
      <c r="AK9" s="92">
        <f t="shared" si="21"/>
        <v>0.50494875940604467</v>
      </c>
      <c r="AL9" s="92">
        <f t="shared" si="8"/>
        <v>1.7848127473799249E-3</v>
      </c>
      <c r="AM9" s="92">
        <f t="shared" si="22"/>
        <v>0.34846000000000005</v>
      </c>
      <c r="AN9" s="211">
        <f t="shared" si="23"/>
        <v>4.4330576355378015E-2</v>
      </c>
      <c r="AO9" s="95">
        <f t="shared" si="24"/>
        <v>0.39457538910275797</v>
      </c>
      <c r="AP9" s="94">
        <f t="shared" si="25"/>
        <v>1.1951871076204856E-3</v>
      </c>
      <c r="AQ9" s="230">
        <f t="shared" si="9"/>
        <v>4.7807484304819422E-3</v>
      </c>
      <c r="AR9" s="230">
        <f t="shared" si="10"/>
        <v>0.19934720112501722</v>
      </c>
      <c r="AS9" s="92">
        <f t="shared" si="11"/>
        <v>3.6000000000000004E-2</v>
      </c>
      <c r="AT9" s="95">
        <f t="shared" si="12"/>
        <v>4.7519999999999999E-5</v>
      </c>
      <c r="AU9" s="94">
        <f t="shared" si="26"/>
        <v>0.78824161949882765</v>
      </c>
      <c r="AV9" s="92">
        <f t="shared" si="27"/>
        <v>6.6</v>
      </c>
      <c r="AW9" s="95">
        <f t="shared" si="28"/>
        <v>89.33113371091541</v>
      </c>
    </row>
    <row r="10" spans="1:49" x14ac:dyDescent="0.25">
      <c r="N10" s="92"/>
      <c r="O10" s="92"/>
      <c r="Q10">
        <v>3</v>
      </c>
      <c r="R10" s="94">
        <f t="shared" si="0"/>
        <v>45</v>
      </c>
      <c r="S10" s="92">
        <f t="shared" si="1"/>
        <v>0.22</v>
      </c>
      <c r="T10" s="92">
        <f t="shared" si="2"/>
        <v>14.4</v>
      </c>
      <c r="U10" s="95">
        <f t="shared" si="3"/>
        <v>0.6875</v>
      </c>
      <c r="V10" s="94">
        <f>IF(Variable_Management!$B$23=3,2,IF((S10*R10/T10)&lt;((T10*(1-(T10/R10)))/(2*Lm*Fsw)),1,2))</f>
        <v>1</v>
      </c>
      <c r="W10" s="92">
        <f t="shared" si="13"/>
        <v>0.29275985608230737</v>
      </c>
      <c r="X10" s="95">
        <f t="shared" si="4"/>
        <v>0.13776934403873287</v>
      </c>
      <c r="Y10" s="94">
        <f t="shared" si="5"/>
        <v>3.1937438845342623</v>
      </c>
      <c r="Z10" s="92">
        <f t="shared" si="14"/>
        <v>3.1937438845342623</v>
      </c>
      <c r="AA10" s="92">
        <f t="shared" si="15"/>
        <v>1.2098757293257587</v>
      </c>
      <c r="AB10" s="92">
        <v>0</v>
      </c>
      <c r="AC10" s="92">
        <f t="shared" si="6"/>
        <v>8.7827956824692195E-3</v>
      </c>
      <c r="AD10" s="95">
        <f t="shared" si="16"/>
        <v>8.7827956824692195E-3</v>
      </c>
      <c r="AE10" s="94">
        <f t="shared" si="29"/>
        <v>0.20127240105658631</v>
      </c>
      <c r="AF10" s="92">
        <f t="shared" si="17"/>
        <v>0.9976890851762612</v>
      </c>
      <c r="AG10" s="92">
        <f t="shared" si="7"/>
        <v>6.967684574758915E-3</v>
      </c>
      <c r="AH10" s="92">
        <f t="shared" si="18"/>
        <v>0.21558314732142858</v>
      </c>
      <c r="AI10" s="95">
        <f t="shared" si="19"/>
        <v>0.22255083189618749</v>
      </c>
      <c r="AJ10" s="94">
        <f t="shared" si="20"/>
        <v>9.4716424026628845E-2</v>
      </c>
      <c r="AK10" s="92">
        <f t="shared" si="21"/>
        <v>0.6844090660794111</v>
      </c>
      <c r="AL10" s="92">
        <f t="shared" si="8"/>
        <v>3.2789103881218419E-3</v>
      </c>
      <c r="AM10" s="92">
        <f t="shared" si="22"/>
        <v>0.34846000000000005</v>
      </c>
      <c r="AN10" s="211">
        <f t="shared" si="23"/>
        <v>5.4293646037082463E-2</v>
      </c>
      <c r="AO10" s="95">
        <f t="shared" si="24"/>
        <v>0.40603255642520436</v>
      </c>
      <c r="AP10" s="94">
        <f t="shared" si="25"/>
        <v>2.1956989206173049E-3</v>
      </c>
      <c r="AQ10" s="230">
        <f t="shared" si="9"/>
        <v>8.7827956824692195E-3</v>
      </c>
      <c r="AR10" s="230">
        <f t="shared" si="10"/>
        <v>0.31802940220318415</v>
      </c>
      <c r="AS10" s="92">
        <f t="shared" si="11"/>
        <v>3.6000000000000004E-2</v>
      </c>
      <c r="AT10" s="95">
        <f t="shared" si="12"/>
        <v>4.7519999999999999E-5</v>
      </c>
      <c r="AU10" s="94">
        <f t="shared" si="26"/>
        <v>1.0024216008101317</v>
      </c>
      <c r="AV10" s="92">
        <f t="shared" si="27"/>
        <v>9.9</v>
      </c>
      <c r="AW10" s="95">
        <f t="shared" si="28"/>
        <v>90.805514247076587</v>
      </c>
    </row>
    <row r="11" spans="1:49" x14ac:dyDescent="0.25">
      <c r="N11" s="92" t="s">
        <v>230</v>
      </c>
      <c r="O11" s="92">
        <v>150</v>
      </c>
      <c r="Q11">
        <v>4</v>
      </c>
      <c r="R11" s="94">
        <f t="shared" si="0"/>
        <v>45</v>
      </c>
      <c r="S11" s="92">
        <f t="shared" si="1"/>
        <v>0.29333333333333333</v>
      </c>
      <c r="T11" s="92">
        <f t="shared" si="2"/>
        <v>14.4</v>
      </c>
      <c r="U11" s="95">
        <f t="shared" si="3"/>
        <v>0.91666666666666663</v>
      </c>
      <c r="V11" s="94">
        <f>IF(Variable_Management!$B$23=3,2,IF((S11*R11/T11)&lt;((T11*(1-(T11/R11)))/(2*Lm*Fsw)),1,2))</f>
        <v>1</v>
      </c>
      <c r="W11" s="92">
        <f t="shared" si="13"/>
        <v>0.33804996343407251</v>
      </c>
      <c r="X11" s="95">
        <f t="shared" si="4"/>
        <v>0.15908233573368119</v>
      </c>
      <c r="Y11" s="94">
        <f t="shared" si="5"/>
        <v>3.6878177829171555</v>
      </c>
      <c r="Z11" s="92">
        <f t="shared" si="14"/>
        <v>3.6878177829171555</v>
      </c>
      <c r="AA11" s="92">
        <f t="shared" si="15"/>
        <v>1.501221643493664</v>
      </c>
      <c r="AB11" s="92">
        <v>0</v>
      </c>
      <c r="AC11" s="92">
        <f t="shared" si="6"/>
        <v>1.3521998537362906E-2</v>
      </c>
      <c r="AD11" s="95">
        <f t="shared" si="16"/>
        <v>1.3521998537362906E-2</v>
      </c>
      <c r="AE11" s="94">
        <f t="shared" si="29"/>
        <v>0.30987913314789978</v>
      </c>
      <c r="AF11" s="92">
        <f t="shared" si="17"/>
        <v>1.2379390807175432</v>
      </c>
      <c r="AG11" s="92">
        <f t="shared" si="7"/>
        <v>1.0727452172974572E-2</v>
      </c>
      <c r="AH11" s="92">
        <f t="shared" si="18"/>
        <v>0.28744419642857144</v>
      </c>
      <c r="AI11" s="95">
        <f t="shared" si="19"/>
        <v>0.29817164860154599</v>
      </c>
      <c r="AJ11" s="94">
        <f t="shared" si="20"/>
        <v>0.1458254744225411</v>
      </c>
      <c r="AK11" s="92">
        <f t="shared" si="21"/>
        <v>0.84921920334270673</v>
      </c>
      <c r="AL11" s="92">
        <f t="shared" si="8"/>
        <v>5.0482127872821508E-3</v>
      </c>
      <c r="AM11" s="92">
        <f t="shared" si="22"/>
        <v>0.34846000000000005</v>
      </c>
      <c r="AN11" s="211">
        <f t="shared" si="23"/>
        <v>6.2692902309591653E-2</v>
      </c>
      <c r="AO11" s="95">
        <f t="shared" si="24"/>
        <v>0.41620111509687385</v>
      </c>
      <c r="AP11" s="94">
        <f t="shared" si="25"/>
        <v>3.3804996343407266E-3</v>
      </c>
      <c r="AQ11" s="230">
        <f t="shared" si="9"/>
        <v>1.3521998537362906E-2</v>
      </c>
      <c r="AR11" s="230">
        <f t="shared" si="10"/>
        <v>0.4429928304059384</v>
      </c>
      <c r="AS11" s="92">
        <f t="shared" si="11"/>
        <v>3.6000000000000004E-2</v>
      </c>
      <c r="AT11" s="95">
        <f t="shared" si="12"/>
        <v>4.7519999999999999E-5</v>
      </c>
      <c r="AU11" s="94">
        <f t="shared" si="26"/>
        <v>1.2238376108134248</v>
      </c>
      <c r="AV11" s="92">
        <f t="shared" si="27"/>
        <v>13.2</v>
      </c>
      <c r="AW11" s="95">
        <f t="shared" si="28"/>
        <v>91.515173396739272</v>
      </c>
    </row>
    <row r="12" spans="1:49" x14ac:dyDescent="0.25">
      <c r="N12" s="92" t="s">
        <v>231</v>
      </c>
      <c r="O12" s="92">
        <f>IOUT/(O11)</f>
        <v>7.3333333333333334E-2</v>
      </c>
      <c r="Q12">
        <v>5</v>
      </c>
      <c r="R12" s="94">
        <f t="shared" si="0"/>
        <v>45</v>
      </c>
      <c r="S12" s="92">
        <f t="shared" si="1"/>
        <v>0.3666666666666667</v>
      </c>
      <c r="T12" s="92">
        <f t="shared" si="2"/>
        <v>14.4</v>
      </c>
      <c r="U12" s="95">
        <f t="shared" si="3"/>
        <v>1.1458333333333333</v>
      </c>
      <c r="V12" s="94">
        <f>IF(Variable_Management!$B$23=3,2,IF((S12*R12/T12)&lt;((T12*(1-(T12/R12)))/(2*Lm*Fsw)),1,2))</f>
        <v>1</v>
      </c>
      <c r="W12" s="92">
        <f t="shared" si="13"/>
        <v>0.37795134901495225</v>
      </c>
      <c r="X12" s="95">
        <f t="shared" si="4"/>
        <v>0.17785945835997755</v>
      </c>
      <c r="Y12" s="94">
        <f t="shared" si="5"/>
        <v>4.1231056256176615</v>
      </c>
      <c r="Z12" s="92">
        <f t="shared" si="14"/>
        <v>4.1231056256176615</v>
      </c>
      <c r="AA12" s="92">
        <f t="shared" si="15"/>
        <v>1.7747097157351124</v>
      </c>
      <c r="AB12" s="92">
        <v>0</v>
      </c>
      <c r="AC12" s="92">
        <f t="shared" si="6"/>
        <v>1.889756745074762E-2</v>
      </c>
      <c r="AD12" s="95">
        <f t="shared" si="16"/>
        <v>1.889756745074762E-2</v>
      </c>
      <c r="AE12" s="94">
        <f t="shared" si="29"/>
        <v>0.43306925407963276</v>
      </c>
      <c r="AF12" s="92">
        <f t="shared" si="17"/>
        <v>1.4634631225571524</v>
      </c>
      <c r="AG12" s="92">
        <f t="shared" si="7"/>
        <v>1.4992070177593115E-2</v>
      </c>
      <c r="AH12" s="92">
        <f t="shared" si="18"/>
        <v>0.3593052455357143</v>
      </c>
      <c r="AI12" s="95">
        <f t="shared" si="19"/>
        <v>0.37429731571330743</v>
      </c>
      <c r="AJ12" s="94">
        <f t="shared" si="20"/>
        <v>0.20379729603747426</v>
      </c>
      <c r="AK12" s="92">
        <f t="shared" si="21"/>
        <v>1.0039274197071584</v>
      </c>
      <c r="AL12" s="92">
        <f t="shared" si="8"/>
        <v>7.0550918482791105E-3</v>
      </c>
      <c r="AM12" s="92">
        <f t="shared" si="22"/>
        <v>0.34846000000000005</v>
      </c>
      <c r="AN12" s="211">
        <f t="shared" si="23"/>
        <v>7.0092795635500249E-2</v>
      </c>
      <c r="AO12" s="95">
        <f t="shared" si="24"/>
        <v>0.42560788748377942</v>
      </c>
      <c r="AP12" s="94">
        <f t="shared" si="25"/>
        <v>4.7243918626869051E-3</v>
      </c>
      <c r="AQ12" s="230">
        <f t="shared" si="9"/>
        <v>1.889756745074762E-2</v>
      </c>
      <c r="AR12" s="230">
        <f t="shared" si="10"/>
        <v>0.57284487559511488</v>
      </c>
      <c r="AS12" s="92">
        <f t="shared" si="11"/>
        <v>3.6000000000000004E-2</v>
      </c>
      <c r="AT12" s="95">
        <f t="shared" si="12"/>
        <v>4.7519999999999999E-5</v>
      </c>
      <c r="AU12" s="94">
        <f t="shared" si="26"/>
        <v>1.4513171255563839</v>
      </c>
      <c r="AV12" s="92">
        <f t="shared" si="27"/>
        <v>16.5</v>
      </c>
      <c r="AW12" s="95">
        <f t="shared" si="28"/>
        <v>91.91526106187375</v>
      </c>
    </row>
    <row r="13" spans="1:49" x14ac:dyDescent="0.25">
      <c r="Q13">
        <v>6</v>
      </c>
      <c r="R13" s="94">
        <f t="shared" si="0"/>
        <v>45</v>
      </c>
      <c r="S13" s="92">
        <f t="shared" si="1"/>
        <v>0.44</v>
      </c>
      <c r="T13" s="92">
        <f t="shared" si="2"/>
        <v>14.4</v>
      </c>
      <c r="U13" s="95">
        <f t="shared" si="3"/>
        <v>1.375</v>
      </c>
      <c r="V13" s="94">
        <f>IF(Variable_Management!$B$23=3,2,IF((S13*R13/T13)&lt;((T13*(1-(T13/R13)))/(2*Lm*Fsw)),1,2))</f>
        <v>1</v>
      </c>
      <c r="W13" s="92">
        <f t="shared" si="13"/>
        <v>0.41402495898999453</v>
      </c>
      <c r="X13" s="95">
        <f t="shared" si="4"/>
        <v>0.19483527481882096</v>
      </c>
      <c r="Y13" s="94">
        <f t="shared" si="5"/>
        <v>4.5166359162544865</v>
      </c>
      <c r="Z13" s="92">
        <f t="shared" si="14"/>
        <v>4.5166359162544865</v>
      </c>
      <c r="AA13" s="92">
        <f t="shared" si="15"/>
        <v>2.0347603273850083</v>
      </c>
      <c r="AB13" s="92">
        <v>0</v>
      </c>
      <c r="AC13" s="92">
        <f t="shared" si="6"/>
        <v>2.4841497539399678E-2</v>
      </c>
      <c r="AD13" s="95">
        <f t="shared" si="16"/>
        <v>2.4841497539399678E-2</v>
      </c>
      <c r="AE13" s="94">
        <f t="shared" si="29"/>
        <v>0.56928431861124251</v>
      </c>
      <c r="AF13" s="92">
        <f t="shared" si="17"/>
        <v>1.6779063505249521</v>
      </c>
      <c r="AG13" s="92">
        <f t="shared" si="7"/>
        <v>1.9707588047923746E-2</v>
      </c>
      <c r="AH13" s="92">
        <f t="shared" si="18"/>
        <v>0.43116629464285716</v>
      </c>
      <c r="AI13" s="95">
        <f t="shared" si="19"/>
        <v>0.45087388269078088</v>
      </c>
      <c r="AJ13" s="94">
        <f t="shared" si="20"/>
        <v>0.2678985028758788</v>
      </c>
      <c r="AK13" s="92">
        <f t="shared" si="21"/>
        <v>1.151034260466639</v>
      </c>
      <c r="AL13" s="92">
        <f t="shared" si="8"/>
        <v>9.2741590813758788E-3</v>
      </c>
      <c r="AM13" s="92">
        <f t="shared" si="22"/>
        <v>0.34846000000000005</v>
      </c>
      <c r="AN13" s="211">
        <f t="shared" si="23"/>
        <v>7.6782810576326271E-2</v>
      </c>
      <c r="AO13" s="95">
        <f t="shared" si="24"/>
        <v>0.43451696965770215</v>
      </c>
      <c r="AP13" s="94">
        <f t="shared" si="25"/>
        <v>6.2103743848499196E-3</v>
      </c>
      <c r="AQ13" s="230">
        <f t="shared" si="9"/>
        <v>2.4841497539399678E-2</v>
      </c>
      <c r="AR13" s="230">
        <f t="shared" si="10"/>
        <v>0.70673048951383888</v>
      </c>
      <c r="AS13" s="92">
        <f t="shared" si="11"/>
        <v>3.6000000000000004E-2</v>
      </c>
      <c r="AT13" s="95">
        <f t="shared" si="12"/>
        <v>4.7519999999999999E-5</v>
      </c>
      <c r="AU13" s="94">
        <f t="shared" si="26"/>
        <v>1.6840622313259712</v>
      </c>
      <c r="AV13" s="92">
        <f t="shared" si="27"/>
        <v>19.8</v>
      </c>
      <c r="AW13" s="95">
        <f t="shared" si="28"/>
        <v>92.161341681134985</v>
      </c>
    </row>
    <row r="14" spans="1:49" x14ac:dyDescent="0.25">
      <c r="Q14" s="32">
        <v>7</v>
      </c>
      <c r="R14" s="94">
        <f t="shared" si="0"/>
        <v>45</v>
      </c>
      <c r="S14" s="92">
        <f t="shared" si="1"/>
        <v>0.51333333333333331</v>
      </c>
      <c r="T14" s="92">
        <f t="shared" si="2"/>
        <v>14.4</v>
      </c>
      <c r="U14" s="95">
        <f t="shared" si="3"/>
        <v>1.6041666666666665</v>
      </c>
      <c r="V14" s="94">
        <f>IF(Variable_Management!$B$23=3,2,IF((S14*R14/T14)&lt;((T14*(1-(T14/R14)))/(2*Lm*Fsw)),1,2))</f>
        <v>1</v>
      </c>
      <c r="W14" s="92">
        <f t="shared" si="13"/>
        <v>0.44719806698051712</v>
      </c>
      <c r="X14" s="95">
        <f t="shared" si="4"/>
        <v>0.2104461491673022</v>
      </c>
      <c r="Y14" s="94">
        <f t="shared" si="5"/>
        <v>4.8785243670601872</v>
      </c>
      <c r="Z14" s="92">
        <f t="shared" si="14"/>
        <v>4.8785243670601872</v>
      </c>
      <c r="AA14" s="92">
        <f t="shared" si="15"/>
        <v>2.2841433364479049</v>
      </c>
      <c r="AB14" s="92">
        <v>0</v>
      </c>
      <c r="AC14" s="92">
        <f t="shared" si="6"/>
        <v>3.1303864688636204E-2</v>
      </c>
      <c r="AD14" s="95">
        <f t="shared" si="16"/>
        <v>3.1303864688636204E-2</v>
      </c>
      <c r="AE14" s="94">
        <f t="shared" si="29"/>
        <v>0.71738023244791282</v>
      </c>
      <c r="AF14" s="92">
        <f t="shared" si="17"/>
        <v>1.8835528480450898</v>
      </c>
      <c r="AG14" s="92">
        <f t="shared" si="7"/>
        <v>2.4834399319651385E-2</v>
      </c>
      <c r="AH14" s="92">
        <f t="shared" si="18"/>
        <v>0.50302734375000002</v>
      </c>
      <c r="AI14" s="95">
        <f t="shared" si="19"/>
        <v>0.52786174306965139</v>
      </c>
      <c r="AJ14" s="94">
        <f t="shared" si="20"/>
        <v>0.33759069762254723</v>
      </c>
      <c r="AK14" s="92">
        <f t="shared" si="21"/>
        <v>1.2921065939235035</v>
      </c>
      <c r="AL14" s="92">
        <f t="shared" si="8"/>
        <v>1.1686776150424183E-2</v>
      </c>
      <c r="AM14" s="92">
        <f t="shared" si="22"/>
        <v>0.34846000000000005</v>
      </c>
      <c r="AN14" s="211">
        <f t="shared" si="23"/>
        <v>8.2934914240023194E-2</v>
      </c>
      <c r="AO14" s="95">
        <f t="shared" si="24"/>
        <v>0.44308169039044742</v>
      </c>
      <c r="AP14" s="94">
        <f t="shared" si="25"/>
        <v>7.8259661721590511E-3</v>
      </c>
      <c r="AQ14" s="230">
        <f t="shared" si="9"/>
        <v>3.1303864688636204E-2</v>
      </c>
      <c r="AR14" s="230">
        <f t="shared" si="10"/>
        <v>0.84406623873552011</v>
      </c>
      <c r="AS14" s="92">
        <f t="shared" si="11"/>
        <v>3.6000000000000004E-2</v>
      </c>
      <c r="AT14" s="95">
        <f t="shared" si="12"/>
        <v>4.7519999999999999E-5</v>
      </c>
      <c r="AU14" s="94">
        <f t="shared" si="26"/>
        <v>1.9214908877450503</v>
      </c>
      <c r="AV14" s="92">
        <f t="shared" si="27"/>
        <v>23.099999999999998</v>
      </c>
      <c r="AW14" s="95">
        <f t="shared" si="28"/>
        <v>92.320637901372407</v>
      </c>
    </row>
    <row r="15" spans="1:49" x14ac:dyDescent="0.25">
      <c r="O15">
        <f>0.205*2.5/(Lm*Fsw)</f>
        <v>0.38825757575757575</v>
      </c>
      <c r="Q15" s="32">
        <v>8</v>
      </c>
      <c r="R15" s="94">
        <f t="shared" si="0"/>
        <v>45</v>
      </c>
      <c r="S15" s="92">
        <f t="shared" si="1"/>
        <v>0.58666666666666667</v>
      </c>
      <c r="T15" s="92">
        <f t="shared" si="2"/>
        <v>14.4</v>
      </c>
      <c r="U15" s="95">
        <f t="shared" si="3"/>
        <v>1.8333333333333333</v>
      </c>
      <c r="V15" s="94">
        <f>IF(Variable_Management!$B$23=3,2,IF((S15*R15/T15)&lt;((T15*(1-(T15/R15)))/(2*Lm*Fsw)),1,2))</f>
        <v>1</v>
      </c>
      <c r="W15" s="92">
        <f t="shared" si="13"/>
        <v>0.4780748430481942</v>
      </c>
      <c r="X15" s="95">
        <f t="shared" si="4"/>
        <v>0.22497639672856198</v>
      </c>
      <c r="Y15" s="94">
        <f t="shared" si="5"/>
        <v>5.215361924162119</v>
      </c>
      <c r="Z15" s="92">
        <f t="shared" si="14"/>
        <v>5.215361924162119</v>
      </c>
      <c r="AA15" s="92">
        <f t="shared" si="15"/>
        <v>2.5247437970302236</v>
      </c>
      <c r="AB15" s="92">
        <v>0</v>
      </c>
      <c r="AC15" s="92">
        <f t="shared" si="6"/>
        <v>3.8245987443855545E-2</v>
      </c>
      <c r="AD15" s="95">
        <f t="shared" si="16"/>
        <v>3.8245987443855545E-2</v>
      </c>
      <c r="AE15" s="94">
        <f t="shared" si="29"/>
        <v>0.87647054558835602</v>
      </c>
      <c r="AF15" s="92">
        <f t="shared" si="17"/>
        <v>2.0819570705557213</v>
      </c>
      <c r="AG15" s="92">
        <f t="shared" si="7"/>
        <v>3.0341816705458727E-2</v>
      </c>
      <c r="AH15" s="92">
        <f t="shared" si="18"/>
        <v>0.57488839285714288</v>
      </c>
      <c r="AI15" s="95">
        <f t="shared" si="19"/>
        <v>0.60523020956260165</v>
      </c>
      <c r="AJ15" s="94">
        <f t="shared" si="20"/>
        <v>0.41245672733569694</v>
      </c>
      <c r="AK15" s="92">
        <f t="shared" si="21"/>
        <v>1.4282107677109945</v>
      </c>
      <c r="AL15" s="92">
        <f t="shared" si="8"/>
        <v>1.4278501979039399E-2</v>
      </c>
      <c r="AM15" s="92">
        <f t="shared" si="22"/>
        <v>0.34846000000000005</v>
      </c>
      <c r="AN15" s="211">
        <f t="shared" si="23"/>
        <v>8.866115271075603E-2</v>
      </c>
      <c r="AO15" s="95">
        <f t="shared" si="24"/>
        <v>0.45139965468979548</v>
      </c>
      <c r="AP15" s="94">
        <f t="shared" si="25"/>
        <v>9.5614968609638862E-3</v>
      </c>
      <c r="AQ15" s="230">
        <f t="shared" si="9"/>
        <v>3.8245987443855545E-2</v>
      </c>
      <c r="AR15" s="230">
        <f t="shared" si="10"/>
        <v>0.98442640119132585</v>
      </c>
      <c r="AS15" s="92">
        <f t="shared" si="11"/>
        <v>3.6000000000000004E-2</v>
      </c>
      <c r="AT15" s="95">
        <f t="shared" si="12"/>
        <v>4.7519999999999999E-5</v>
      </c>
      <c r="AU15" s="94">
        <f t="shared" si="26"/>
        <v>2.163157257192398</v>
      </c>
      <c r="AV15" s="92">
        <f t="shared" si="27"/>
        <v>26.4</v>
      </c>
      <c r="AW15" s="95">
        <f t="shared" si="28"/>
        <v>92.426757176335244</v>
      </c>
    </row>
    <row r="16" spans="1:49" x14ac:dyDescent="0.25">
      <c r="Q16" s="32">
        <v>9</v>
      </c>
      <c r="R16" s="94">
        <f t="shared" si="0"/>
        <v>45</v>
      </c>
      <c r="S16" s="92">
        <f t="shared" si="1"/>
        <v>0.66</v>
      </c>
      <c r="T16" s="92">
        <f t="shared" si="2"/>
        <v>14.4</v>
      </c>
      <c r="U16" s="95">
        <f t="shared" si="3"/>
        <v>2.0625</v>
      </c>
      <c r="V16" s="94">
        <f>IF(Variable_Management!$B$23=3,2,IF((S16*R16/T16)&lt;((T16*(1-(T16/R16)))/(2*Lm*Fsw)),1,2))</f>
        <v>1</v>
      </c>
      <c r="W16" s="92">
        <f t="shared" si="13"/>
        <v>0.50707494515110874</v>
      </c>
      <c r="X16" s="95">
        <f t="shared" si="4"/>
        <v>0.23862350360052176</v>
      </c>
      <c r="Y16" s="94">
        <f t="shared" si="5"/>
        <v>5.5317266743757321</v>
      </c>
      <c r="Z16" s="92">
        <f t="shared" ref="Z16:Z79" si="30">CHOOSE(V16,Y16,U16+(0.5*Y16))</f>
        <v>5.5317266743757321</v>
      </c>
      <c r="AA16" s="92">
        <f t="shared" ref="AA16:AA79" si="31">CHOOSE(V16,Z16*SQRT((W16+X16)/3),SQRT((U16^2)+((Y16^2)/12)))</f>
        <v>2.7579202630363753</v>
      </c>
      <c r="AB16" s="92">
        <v>0</v>
      </c>
      <c r="AC16" s="92">
        <f t="shared" si="6"/>
        <v>4.5636745063599778E-2</v>
      </c>
      <c r="AD16" s="95">
        <f t="shared" si="16"/>
        <v>4.5636745063599778E-2</v>
      </c>
      <c r="AE16" s="94">
        <f t="shared" si="29"/>
        <v>1.0458420743741619</v>
      </c>
      <c r="AF16" s="92">
        <f t="shared" si="17"/>
        <v>2.2742393103060436</v>
      </c>
      <c r="AG16" s="92">
        <f t="shared" si="7"/>
        <v>3.6205151083789161E-2</v>
      </c>
      <c r="AH16" s="92">
        <f t="shared" si="18"/>
        <v>0.64674944196428574</v>
      </c>
      <c r="AI16" s="95">
        <f t="shared" si="19"/>
        <v>0.68295459304807493</v>
      </c>
      <c r="AJ16" s="94">
        <f t="shared" si="20"/>
        <v>0.49216097617607613</v>
      </c>
      <c r="AK16" s="92">
        <f t="shared" si="21"/>
        <v>1.5601152959718463</v>
      </c>
      <c r="AL16" s="92">
        <f t="shared" si="8"/>
        <v>1.7037718157077251E-2</v>
      </c>
      <c r="AM16" s="92">
        <f t="shared" si="22"/>
        <v>0.34846000000000005</v>
      </c>
      <c r="AN16" s="211">
        <f t="shared" si="23"/>
        <v>9.4039353464387451E-2</v>
      </c>
      <c r="AO16" s="95">
        <f t="shared" si="24"/>
        <v>0.45953707162146479</v>
      </c>
      <c r="AP16" s="94">
        <f t="shared" si="25"/>
        <v>1.1409186265899944E-2</v>
      </c>
      <c r="AQ16" s="230">
        <f t="shared" si="9"/>
        <v>4.5636745063599778E-2</v>
      </c>
      <c r="AR16" s="230">
        <f t="shared" si="10"/>
        <v>1.127485481764525</v>
      </c>
      <c r="AS16" s="92">
        <f t="shared" si="11"/>
        <v>3.6000000000000004E-2</v>
      </c>
      <c r="AT16" s="95">
        <f t="shared" si="12"/>
        <v>4.7519999999999999E-5</v>
      </c>
      <c r="AU16" s="94">
        <f t="shared" si="26"/>
        <v>2.4087073428271641</v>
      </c>
      <c r="AV16" s="92">
        <f t="shared" si="27"/>
        <v>29.700000000000003</v>
      </c>
      <c r="AW16" s="95">
        <f t="shared" si="28"/>
        <v>92.498273701556371</v>
      </c>
    </row>
    <row r="17" spans="17:49" x14ac:dyDescent="0.25">
      <c r="Q17" s="32">
        <v>10</v>
      </c>
      <c r="R17" s="94">
        <f t="shared" si="0"/>
        <v>45</v>
      </c>
      <c r="S17" s="92">
        <f t="shared" si="1"/>
        <v>0.73333333333333339</v>
      </c>
      <c r="T17" s="92">
        <f t="shared" si="2"/>
        <v>14.4</v>
      </c>
      <c r="U17" s="95">
        <f t="shared" si="3"/>
        <v>2.2916666666666665</v>
      </c>
      <c r="V17" s="94">
        <f>IF(Variable_Management!$B$23=3,2,IF((S17*R17/T17)&lt;((T17*(1-(T17/R17)))/(2*Lm*Fsw)),1,2))</f>
        <v>1</v>
      </c>
      <c r="W17" s="92">
        <f t="shared" si="13"/>
        <v>0.53450392369415256</v>
      </c>
      <c r="X17" s="95">
        <f t="shared" si="4"/>
        <v>0.25153125820901301</v>
      </c>
      <c r="Y17" s="94">
        <f t="shared" si="5"/>
        <v>5.8309518948453016</v>
      </c>
      <c r="Z17" s="92">
        <f t="shared" si="30"/>
        <v>5.8309518948453016</v>
      </c>
      <c r="AA17" s="92">
        <f t="shared" si="31"/>
        <v>2.9846940761551899</v>
      </c>
      <c r="AB17" s="92">
        <v>0</v>
      </c>
      <c r="AC17" s="92">
        <f t="shared" si="6"/>
        <v>5.3450392369415296E-2</v>
      </c>
      <c r="AD17" s="95">
        <f t="shared" si="16"/>
        <v>5.3450392369415296E-2</v>
      </c>
      <c r="AE17" s="94">
        <f t="shared" si="29"/>
        <v>1.2249048251324328</v>
      </c>
      <c r="AF17" s="92">
        <f t="shared" si="17"/>
        <v>2.4612417872286336</v>
      </c>
      <c r="AG17" s="92">
        <f t="shared" si="7"/>
        <v>4.2403977946402792E-2</v>
      </c>
      <c r="AH17" s="92">
        <f t="shared" si="18"/>
        <v>0.7186104910714286</v>
      </c>
      <c r="AI17" s="95">
        <f t="shared" si="19"/>
        <v>0.76101446901783143</v>
      </c>
      <c r="AJ17" s="94">
        <f t="shared" si="20"/>
        <v>0.57642580006232147</v>
      </c>
      <c r="AK17" s="92">
        <f t="shared" si="21"/>
        <v>1.688397936813322</v>
      </c>
      <c r="AL17" s="92">
        <f t="shared" si="8"/>
        <v>1.9954813151248377E-2</v>
      </c>
      <c r="AM17" s="92">
        <f t="shared" si="22"/>
        <v>0.34846000000000005</v>
      </c>
      <c r="AN17" s="211">
        <f t="shared" si="23"/>
        <v>9.9126182212370129E-2</v>
      </c>
      <c r="AO17" s="95">
        <f t="shared" si="24"/>
        <v>0.46754099536361854</v>
      </c>
      <c r="AP17" s="94">
        <f t="shared" si="25"/>
        <v>1.3362598092353824E-2</v>
      </c>
      <c r="AQ17" s="230">
        <f t="shared" si="9"/>
        <v>5.3450392369415296E-2</v>
      </c>
      <c r="AR17" s="230">
        <f t="shared" si="10"/>
        <v>1.2729858828781468</v>
      </c>
      <c r="AS17" s="92">
        <f t="shared" si="11"/>
        <v>3.6000000000000004E-2</v>
      </c>
      <c r="AT17" s="95">
        <f t="shared" si="12"/>
        <v>4.7519999999999999E-5</v>
      </c>
      <c r="AU17" s="94">
        <f t="shared" si="26"/>
        <v>2.6578522500907815</v>
      </c>
      <c r="AV17" s="92">
        <f t="shared" si="27"/>
        <v>33</v>
      </c>
      <c r="AW17" s="95">
        <f t="shared" si="28"/>
        <v>92.546235731054111</v>
      </c>
    </row>
    <row r="18" spans="17:49" x14ac:dyDescent="0.25">
      <c r="Q18" s="32">
        <v>11</v>
      </c>
      <c r="R18" s="94">
        <f t="shared" si="0"/>
        <v>45</v>
      </c>
      <c r="S18" s="92">
        <f t="shared" si="1"/>
        <v>0.80666666666666664</v>
      </c>
      <c r="T18" s="92">
        <f t="shared" si="2"/>
        <v>14.4</v>
      </c>
      <c r="U18" s="95">
        <f t="shared" si="3"/>
        <v>2.520833333333333</v>
      </c>
      <c r="V18" s="94">
        <f>IF(Variable_Management!$B$23=3,2,IF((S18*R18/T18)&lt;((T18*(1-(T18/R18)))/(2*Lm*Fsw)),1,2))</f>
        <v>1</v>
      </c>
      <c r="W18" s="92">
        <f t="shared" si="13"/>
        <v>0.56059244455209067</v>
      </c>
      <c r="X18" s="95">
        <f t="shared" si="4"/>
        <v>0.26380820920098386</v>
      </c>
      <c r="Y18" s="94">
        <f t="shared" si="5"/>
        <v>6.1155539405682626</v>
      </c>
      <c r="Z18" s="92">
        <f t="shared" si="30"/>
        <v>6.1155539405682626</v>
      </c>
      <c r="AA18" s="92">
        <f t="shared" si="31"/>
        <v>3.2058584108038306</v>
      </c>
      <c r="AB18" s="92">
        <v>0</v>
      </c>
      <c r="AC18" s="92">
        <f t="shared" si="6"/>
        <v>6.1665168900729976E-2</v>
      </c>
      <c r="AD18" s="95">
        <f t="shared" si="16"/>
        <v>6.1665168900729976E-2</v>
      </c>
      <c r="AE18" s="94">
        <f t="shared" si="29"/>
        <v>1.4131601206417284</v>
      </c>
      <c r="AF18" s="92">
        <f t="shared" si="17"/>
        <v>2.6436185697037935</v>
      </c>
      <c r="AG18" s="92">
        <f t="shared" si="7"/>
        <v>4.8921033994579116E-2</v>
      </c>
      <c r="AH18" s="92">
        <f t="shared" si="18"/>
        <v>0.79047154017857124</v>
      </c>
      <c r="AI18" s="95">
        <f t="shared" si="19"/>
        <v>0.83939257417315039</v>
      </c>
      <c r="AJ18" s="94">
        <f t="shared" si="20"/>
        <v>0.6650165273608134</v>
      </c>
      <c r="AK18" s="92">
        <f t="shared" si="21"/>
        <v>1.813507377442654</v>
      </c>
      <c r="AL18" s="92">
        <f t="shared" si="8"/>
        <v>2.302166305627253E-2</v>
      </c>
      <c r="AM18" s="92">
        <f t="shared" si="22"/>
        <v>0.34846000000000005</v>
      </c>
      <c r="AN18" s="211">
        <f t="shared" si="23"/>
        <v>0.10396441698966047</v>
      </c>
      <c r="AO18" s="95">
        <f t="shared" si="24"/>
        <v>0.47544608004593303</v>
      </c>
      <c r="AP18" s="94">
        <f t="shared" si="25"/>
        <v>1.5416292225182494E-2</v>
      </c>
      <c r="AQ18" s="230">
        <f t="shared" si="9"/>
        <v>6.1665168900729976E-2</v>
      </c>
      <c r="AR18" s="230">
        <f t="shared" si="10"/>
        <v>1.4207182548400514</v>
      </c>
      <c r="AS18" s="92">
        <f t="shared" si="11"/>
        <v>3.6000000000000004E-2</v>
      </c>
      <c r="AT18" s="95">
        <f t="shared" si="12"/>
        <v>4.7519999999999999E-5</v>
      </c>
      <c r="AU18" s="94">
        <f t="shared" si="26"/>
        <v>2.9103510590857775</v>
      </c>
      <c r="AV18" s="92">
        <f t="shared" si="27"/>
        <v>36.299999999999997</v>
      </c>
      <c r="AW18" s="95">
        <f t="shared" si="28"/>
        <v>92.577594996024928</v>
      </c>
    </row>
    <row r="19" spans="17:49" x14ac:dyDescent="0.25">
      <c r="Q19" s="32">
        <v>12</v>
      </c>
      <c r="R19" s="94">
        <f t="shared" si="0"/>
        <v>45</v>
      </c>
      <c r="S19" s="92">
        <f t="shared" si="1"/>
        <v>0.88</v>
      </c>
      <c r="T19" s="92">
        <f t="shared" si="2"/>
        <v>14.4</v>
      </c>
      <c r="U19" s="95">
        <f t="shared" si="3"/>
        <v>2.75</v>
      </c>
      <c r="V19" s="94">
        <f>IF(Variable_Management!$B$23=3,2,IF((S19*R19/T19)&lt;((T19*(1-(T19/R19)))/(2*Lm*Fsw)),1,2))</f>
        <v>1</v>
      </c>
      <c r="W19" s="92">
        <f t="shared" si="13"/>
        <v>0.58551971216461474</v>
      </c>
      <c r="X19" s="95">
        <f t="shared" si="4"/>
        <v>0.27553868807746573</v>
      </c>
      <c r="Y19" s="94">
        <f t="shared" si="5"/>
        <v>6.3874877690685246</v>
      </c>
      <c r="Z19" s="92">
        <f t="shared" si="30"/>
        <v>6.3874877690685246</v>
      </c>
      <c r="AA19" s="92">
        <f t="shared" si="31"/>
        <v>3.4220453303970557</v>
      </c>
      <c r="AB19" s="92">
        <v>0</v>
      </c>
      <c r="AC19" s="92">
        <f t="shared" si="6"/>
        <v>7.026236545975377E-2</v>
      </c>
      <c r="AD19" s="95">
        <f t="shared" si="16"/>
        <v>7.026236545975377E-2</v>
      </c>
      <c r="AE19" s="94">
        <f t="shared" si="29"/>
        <v>1.6101792084526905</v>
      </c>
      <c r="AF19" s="92">
        <f t="shared" si="17"/>
        <v>2.8218908705757495</v>
      </c>
      <c r="AG19" s="92">
        <f t="shared" si="7"/>
        <v>5.5741476598071334E-2</v>
      </c>
      <c r="AH19" s="92">
        <f t="shared" si="18"/>
        <v>0.86233258928571432</v>
      </c>
      <c r="AI19" s="95">
        <f t="shared" si="19"/>
        <v>0.91807406588378571</v>
      </c>
      <c r="AJ19" s="94">
        <f t="shared" si="20"/>
        <v>0.75773139221303076</v>
      </c>
      <c r="AK19" s="92">
        <f t="shared" si="21"/>
        <v>1.9358011669212138</v>
      </c>
      <c r="AL19" s="92">
        <f t="shared" si="8"/>
        <v>2.6231283104974731E-2</v>
      </c>
      <c r="AM19" s="92">
        <f t="shared" si="22"/>
        <v>0.34846000000000005</v>
      </c>
      <c r="AN19" s="211">
        <f t="shared" si="23"/>
        <v>0.10858729207416493</v>
      </c>
      <c r="AO19" s="95">
        <f t="shared" si="24"/>
        <v>0.48327857517913975</v>
      </c>
      <c r="AP19" s="94">
        <f t="shared" si="25"/>
        <v>1.7565591364938443E-2</v>
      </c>
      <c r="AQ19" s="230">
        <f t="shared" si="9"/>
        <v>7.026236545975377E-2</v>
      </c>
      <c r="AR19" s="230">
        <f t="shared" si="10"/>
        <v>1.5705088314110258</v>
      </c>
      <c r="AS19" s="92">
        <f t="shared" si="11"/>
        <v>3.6000000000000004E-2</v>
      </c>
      <c r="AT19" s="95">
        <f t="shared" si="12"/>
        <v>4.7519999999999999E-5</v>
      </c>
      <c r="AU19" s="94">
        <f t="shared" si="26"/>
        <v>3.1659993147583974</v>
      </c>
      <c r="AV19" s="92">
        <f t="shared" si="27"/>
        <v>39.6</v>
      </c>
      <c r="AW19" s="95">
        <f t="shared" si="28"/>
        <v>92.596924272816366</v>
      </c>
    </row>
    <row r="20" spans="17:49" x14ac:dyDescent="0.25">
      <c r="Q20" s="32">
        <v>13</v>
      </c>
      <c r="R20" s="94">
        <f t="shared" si="0"/>
        <v>45</v>
      </c>
      <c r="S20" s="92">
        <f t="shared" si="1"/>
        <v>0.95333333333333337</v>
      </c>
      <c r="T20" s="92">
        <f t="shared" si="2"/>
        <v>14.4</v>
      </c>
      <c r="U20" s="95">
        <f t="shared" si="3"/>
        <v>2.9791666666666665</v>
      </c>
      <c r="V20" s="94">
        <f>IF(Variable_Management!$B$23=3,2,IF((S20*R20/T20)&lt;((T20*(1-(T20/R20)))/(2*Lm*Fsw)),1,2))</f>
        <v>1</v>
      </c>
      <c r="W20" s="92">
        <f t="shared" si="13"/>
        <v>0.6094282384151376</v>
      </c>
      <c r="X20" s="95">
        <f t="shared" si="4"/>
        <v>0.28678975925418243</v>
      </c>
      <c r="Y20" s="94">
        <f t="shared" si="5"/>
        <v>6.648308055437866</v>
      </c>
      <c r="Z20" s="92">
        <f t="shared" si="30"/>
        <v>6.648308055437866</v>
      </c>
      <c r="AA20" s="92">
        <f t="shared" si="31"/>
        <v>3.6337691862575219</v>
      </c>
      <c r="AB20" s="92">
        <v>0</v>
      </c>
      <c r="AC20" s="92">
        <f t="shared" si="6"/>
        <v>7.922567099396792E-2</v>
      </c>
      <c r="AD20" s="95">
        <f t="shared" si="16"/>
        <v>7.922567099396792E-2</v>
      </c>
      <c r="AE20" s="94">
        <f t="shared" si="29"/>
        <v>1.815588293611764</v>
      </c>
      <c r="AF20" s="92">
        <f t="shared" si="17"/>
        <v>2.9964828348108998</v>
      </c>
      <c r="AG20" s="92">
        <f t="shared" si="7"/>
        <v>6.285236565521457E-2</v>
      </c>
      <c r="AH20" s="92">
        <f t="shared" si="18"/>
        <v>0.93419363839285707</v>
      </c>
      <c r="AI20" s="95">
        <f t="shared" si="19"/>
        <v>0.99704600404807164</v>
      </c>
      <c r="AJ20" s="94">
        <f t="shared" si="20"/>
        <v>0.85439449111141841</v>
      </c>
      <c r="AK20" s="92">
        <f t="shared" si="21"/>
        <v>2.0555702662955331</v>
      </c>
      <c r="AL20" s="92">
        <f t="shared" si="8"/>
        <v>2.9577583837748025E-2</v>
      </c>
      <c r="AM20" s="92">
        <f t="shared" si="22"/>
        <v>0.34846000000000005</v>
      </c>
      <c r="AN20" s="211">
        <f t="shared" si="23"/>
        <v>0.11302123694244373</v>
      </c>
      <c r="AO20" s="95">
        <f t="shared" si="24"/>
        <v>0.49105882078019181</v>
      </c>
      <c r="AP20" s="94">
        <f t="shared" si="25"/>
        <v>1.980641774849198E-2</v>
      </c>
      <c r="AQ20" s="230">
        <f t="shared" si="9"/>
        <v>7.922567099396792E-2</v>
      </c>
      <c r="AR20" s="230">
        <f t="shared" si="10"/>
        <v>1.7222108830509404</v>
      </c>
      <c r="AS20" s="92">
        <f t="shared" si="11"/>
        <v>3.6000000000000004E-2</v>
      </c>
      <c r="AT20" s="95">
        <f t="shared" si="12"/>
        <v>4.7519999999999999E-5</v>
      </c>
      <c r="AU20" s="94">
        <f t="shared" si="26"/>
        <v>3.4246209876156319</v>
      </c>
      <c r="AV20" s="92">
        <f t="shared" si="27"/>
        <v>42.9</v>
      </c>
      <c r="AW20" s="95">
        <f t="shared" si="28"/>
        <v>92.607341593725792</v>
      </c>
    </row>
    <row r="21" spans="17:49" x14ac:dyDescent="0.25">
      <c r="Q21" s="32">
        <v>14</v>
      </c>
      <c r="R21" s="94">
        <f t="shared" si="0"/>
        <v>45</v>
      </c>
      <c r="S21" s="92">
        <f t="shared" si="1"/>
        <v>1.0266666666666666</v>
      </c>
      <c r="T21" s="92">
        <f t="shared" si="2"/>
        <v>14.4</v>
      </c>
      <c r="U21" s="95">
        <f t="shared" si="3"/>
        <v>3.208333333333333</v>
      </c>
      <c r="V21" s="94">
        <f>IF(Variable_Management!$B$23=3,2,IF((S21*R21/T21)&lt;((T21*(1-(T21/R21)))/(2*Lm*Fsw)),1,2))</f>
        <v>1</v>
      </c>
      <c r="W21" s="92">
        <f t="shared" si="13"/>
        <v>0.63243357139087908</v>
      </c>
      <c r="X21" s="95">
        <f t="shared" si="4"/>
        <v>0.29761579830159013</v>
      </c>
      <c r="Y21" s="94">
        <f t="shared" si="5"/>
        <v>6.8992753242641358</v>
      </c>
      <c r="Z21" s="92">
        <f t="shared" si="30"/>
        <v>6.8992753242641358</v>
      </c>
      <c r="AA21" s="92">
        <f t="shared" si="31"/>
        <v>3.841455887089404</v>
      </c>
      <c r="AB21" s="92">
        <v>0</v>
      </c>
      <c r="AC21" s="92">
        <f t="shared" si="6"/>
        <v>8.8540699994723041E-2</v>
      </c>
      <c r="AD21" s="95">
        <f t="shared" si="16"/>
        <v>8.8540699994723041E-2</v>
      </c>
      <c r="AE21" s="94">
        <f t="shared" si="29"/>
        <v>2.0290577082124037</v>
      </c>
      <c r="AF21" s="92">
        <f t="shared" si="17"/>
        <v>3.1677456757240807</v>
      </c>
      <c r="AG21" s="92">
        <f t="shared" si="7"/>
        <v>7.0242288662480293E-2</v>
      </c>
      <c r="AH21" s="92">
        <f t="shared" si="18"/>
        <v>1.0060546875</v>
      </c>
      <c r="AI21" s="95">
        <f t="shared" si="19"/>
        <v>1.0762969761624803</v>
      </c>
      <c r="AJ21" s="94">
        <f t="shared" si="20"/>
        <v>0.95485068621760161</v>
      </c>
      <c r="AK21" s="92">
        <f t="shared" si="21"/>
        <v>2.1730556059119217</v>
      </c>
      <c r="AL21" s="92">
        <f t="shared" si="8"/>
        <v>3.3055194664696606E-2</v>
      </c>
      <c r="AM21" s="92">
        <f t="shared" si="22"/>
        <v>0.34846000000000005</v>
      </c>
      <c r="AN21" s="211">
        <f t="shared" si="23"/>
        <v>0.11728768051249032</v>
      </c>
      <c r="AO21" s="95">
        <f t="shared" si="24"/>
        <v>0.49880287517718697</v>
      </c>
      <c r="AP21" s="94">
        <f t="shared" si="25"/>
        <v>2.213517499868076E-2</v>
      </c>
      <c r="AQ21" s="230">
        <f t="shared" si="9"/>
        <v>8.8540699994723041E-2</v>
      </c>
      <c r="AR21" s="230">
        <f t="shared" si="10"/>
        <v>1.8756987308442195</v>
      </c>
      <c r="AS21" s="92">
        <f t="shared" si="11"/>
        <v>3.6000000000000004E-2</v>
      </c>
      <c r="AT21" s="95">
        <f t="shared" si="12"/>
        <v>4.7519999999999999E-5</v>
      </c>
      <c r="AU21" s="94">
        <f t="shared" si="26"/>
        <v>3.6860626771720137</v>
      </c>
      <c r="AV21" s="92">
        <f t="shared" si="27"/>
        <v>46.199999999999996</v>
      </c>
      <c r="AW21" s="95">
        <f t="shared" si="28"/>
        <v>92.611037072567441</v>
      </c>
    </row>
    <row r="22" spans="17:49" x14ac:dyDescent="0.25">
      <c r="Q22" s="32">
        <v>15</v>
      </c>
      <c r="R22" s="94">
        <f t="shared" si="0"/>
        <v>45</v>
      </c>
      <c r="S22" s="92">
        <f t="shared" si="1"/>
        <v>1.1000000000000001</v>
      </c>
      <c r="T22" s="92">
        <f t="shared" si="2"/>
        <v>14.4</v>
      </c>
      <c r="U22" s="95">
        <f t="shared" si="3"/>
        <v>3.4375000000000004</v>
      </c>
      <c r="V22" s="94">
        <f>IF(Variable_Management!$B$23=3,2,IF((S22*R22/T22)&lt;((T22*(1-(T22/R22)))/(2*Lm*Fsw)),1,2))</f>
        <v>1</v>
      </c>
      <c r="W22" s="92">
        <f t="shared" si="13"/>
        <v>0.65463093928309457</v>
      </c>
      <c r="X22" s="95">
        <f t="shared" si="4"/>
        <v>0.30806161848616215</v>
      </c>
      <c r="Y22" s="94">
        <f t="shared" si="5"/>
        <v>7.1414284285428513</v>
      </c>
      <c r="Z22" s="92">
        <f t="shared" si="30"/>
        <v>7.1414284285428513</v>
      </c>
      <c r="AA22" s="92">
        <f t="shared" si="31"/>
        <v>4.0454633210643962</v>
      </c>
      <c r="AB22" s="92">
        <v>0</v>
      </c>
      <c r="AC22" s="92">
        <f t="shared" si="6"/>
        <v>9.8194640892464241E-2</v>
      </c>
      <c r="AD22" s="95">
        <f t="shared" si="16"/>
        <v>9.8194640892464241E-2</v>
      </c>
      <c r="AE22" s="94">
        <f t="shared" si="29"/>
        <v>2.2502938537856378</v>
      </c>
      <c r="AF22" s="92">
        <f t="shared" si="17"/>
        <v>3.3359745154621026</v>
      </c>
      <c r="AG22" s="92">
        <f t="shared" si="7"/>
        <v>7.7901081774688269E-2</v>
      </c>
      <c r="AH22" s="92">
        <f t="shared" si="18"/>
        <v>1.077915736607143</v>
      </c>
      <c r="AI22" s="95">
        <f t="shared" si="19"/>
        <v>1.1558168183818314</v>
      </c>
      <c r="AJ22" s="94">
        <f t="shared" si="20"/>
        <v>1.0589618135461825</v>
      </c>
      <c r="AK22" s="92">
        <f t="shared" si="21"/>
        <v>2.2884596378928683</v>
      </c>
      <c r="AL22" s="92">
        <f t="shared" si="8"/>
        <v>3.6659332599853309E-2</v>
      </c>
      <c r="AM22" s="92">
        <f t="shared" si="22"/>
        <v>0.34846000000000005</v>
      </c>
      <c r="AN22" s="211">
        <f t="shared" si="23"/>
        <v>0.12140428328522848</v>
      </c>
      <c r="AO22" s="95">
        <f t="shared" si="24"/>
        <v>0.50652361588508188</v>
      </c>
      <c r="AP22" s="94">
        <f t="shared" si="25"/>
        <v>2.454866022311606E-2</v>
      </c>
      <c r="AQ22" s="230">
        <f t="shared" si="9"/>
        <v>9.8194640892464241E-2</v>
      </c>
      <c r="AR22" s="230">
        <f t="shared" si="10"/>
        <v>2.0308634235147189</v>
      </c>
      <c r="AS22" s="92">
        <f t="shared" si="11"/>
        <v>3.6000000000000004E-2</v>
      </c>
      <c r="AT22" s="95">
        <f t="shared" si="12"/>
        <v>4.7519999999999999E-5</v>
      </c>
      <c r="AU22" s="94">
        <f t="shared" si="26"/>
        <v>3.9501893197896774</v>
      </c>
      <c r="AV22" s="92">
        <f t="shared" si="27"/>
        <v>49.500000000000007</v>
      </c>
      <c r="AW22" s="95">
        <f t="shared" si="28"/>
        <v>92.609587786198659</v>
      </c>
    </row>
    <row r="23" spans="17:49" x14ac:dyDescent="0.25">
      <c r="Q23" s="32">
        <v>16</v>
      </c>
      <c r="R23" s="94">
        <f t="shared" si="0"/>
        <v>45</v>
      </c>
      <c r="S23" s="92">
        <f t="shared" si="1"/>
        <v>1.1733333333333333</v>
      </c>
      <c r="T23" s="92">
        <f t="shared" si="2"/>
        <v>14.4</v>
      </c>
      <c r="U23" s="95">
        <f t="shared" si="3"/>
        <v>3.6666666666666665</v>
      </c>
      <c r="V23" s="94">
        <f>IF(Variable_Management!$B$23=3,2,IF((S23*R23/T23)&lt;((T23*(1-(T23/R23)))/(2*Lm*Fsw)),1,2))</f>
        <v>1</v>
      </c>
      <c r="W23" s="92">
        <f t="shared" si="13"/>
        <v>0.67609992686814502</v>
      </c>
      <c r="X23" s="95">
        <f t="shared" si="4"/>
        <v>0.31816467146736238</v>
      </c>
      <c r="Y23" s="94">
        <f t="shared" si="5"/>
        <v>7.3756355658343109</v>
      </c>
      <c r="Z23" s="92">
        <f t="shared" si="30"/>
        <v>7.3756355658343109</v>
      </c>
      <c r="AA23" s="92">
        <f t="shared" si="31"/>
        <v>4.2460960167135333</v>
      </c>
      <c r="AB23" s="92">
        <v>0</v>
      </c>
      <c r="AC23" s="92">
        <f t="shared" si="6"/>
        <v>0.10817598829890321</v>
      </c>
      <c r="AD23" s="95">
        <f t="shared" si="16"/>
        <v>0.10817598829890321</v>
      </c>
      <c r="AE23" s="94">
        <f t="shared" si="29"/>
        <v>2.4790330651831982</v>
      </c>
      <c r="AF23" s="92">
        <f t="shared" si="17"/>
        <v>3.5014204746848621</v>
      </c>
      <c r="AG23" s="92">
        <f t="shared" si="7"/>
        <v>8.5819617383796551E-2</v>
      </c>
      <c r="AH23" s="92">
        <f t="shared" si="18"/>
        <v>1.1497767857142858</v>
      </c>
      <c r="AI23" s="95">
        <f t="shared" si="19"/>
        <v>1.2355964030980824</v>
      </c>
      <c r="AJ23" s="94">
        <f t="shared" si="20"/>
        <v>1.1666037953803288</v>
      </c>
      <c r="AK23" s="92">
        <f t="shared" si="21"/>
        <v>2.4019546295898624</v>
      </c>
      <c r="AL23" s="92">
        <f t="shared" si="8"/>
        <v>4.0385702298257213E-2</v>
      </c>
      <c r="AM23" s="92">
        <f t="shared" si="22"/>
        <v>0.34846000000000005</v>
      </c>
      <c r="AN23" s="211">
        <f t="shared" si="23"/>
        <v>0.12538580461918331</v>
      </c>
      <c r="AO23" s="95">
        <f t="shared" si="24"/>
        <v>0.51423150691744057</v>
      </c>
      <c r="AP23" s="94">
        <f t="shared" si="25"/>
        <v>2.7043997074725802E-2</v>
      </c>
      <c r="AQ23" s="230">
        <f t="shared" si="9"/>
        <v>0.10817598829890321</v>
      </c>
      <c r="AR23" s="230">
        <f t="shared" si="10"/>
        <v>2.1876095341644084</v>
      </c>
      <c r="AS23" s="92">
        <f t="shared" si="11"/>
        <v>3.6000000000000004E-2</v>
      </c>
      <c r="AT23" s="95">
        <f t="shared" si="12"/>
        <v>4.7519999999999999E-5</v>
      </c>
      <c r="AU23" s="94">
        <f t="shared" si="26"/>
        <v>4.2168809378524639</v>
      </c>
      <c r="AV23" s="92">
        <f t="shared" si="27"/>
        <v>52.8</v>
      </c>
      <c r="AW23" s="95">
        <f t="shared" si="28"/>
        <v>92.60415359716221</v>
      </c>
    </row>
    <row r="24" spans="17:49" x14ac:dyDescent="0.25">
      <c r="Q24" s="32">
        <v>17</v>
      </c>
      <c r="R24" s="94">
        <f t="shared" si="0"/>
        <v>45</v>
      </c>
      <c r="S24" s="92">
        <f t="shared" si="1"/>
        <v>1.2466666666666666</v>
      </c>
      <c r="T24" s="92">
        <f t="shared" si="2"/>
        <v>14.4</v>
      </c>
      <c r="U24" s="95">
        <f t="shared" si="3"/>
        <v>3.895833333333333</v>
      </c>
      <c r="V24" s="94">
        <f>IF(Variable_Management!$B$23=3,2,IF((S24*R24/T24)&lt;((T24*(1-(T24/R24)))/(2*Lm*Fsw)),1,2))</f>
        <v>2</v>
      </c>
      <c r="W24" s="92">
        <f t="shared" si="13"/>
        <v>0.67999999999999994</v>
      </c>
      <c r="X24" s="95">
        <f t="shared" si="4"/>
        <v>0.32000000000000006</v>
      </c>
      <c r="Y24" s="94">
        <f t="shared" si="5"/>
        <v>7.4181818181818189</v>
      </c>
      <c r="Z24" s="92">
        <f t="shared" si="30"/>
        <v>7.6049242424242429</v>
      </c>
      <c r="AA24" s="92">
        <f t="shared" si="31"/>
        <v>4.4455936032298373</v>
      </c>
      <c r="AB24" s="92">
        <v>0</v>
      </c>
      <c r="AC24" s="92">
        <f t="shared" si="6"/>
        <v>0.11857981491046828</v>
      </c>
      <c r="AD24" s="95">
        <f t="shared" si="16"/>
        <v>0.11857981491046828</v>
      </c>
      <c r="AE24" s="94">
        <f t="shared" si="29"/>
        <v>2.649166666666666</v>
      </c>
      <c r="AF24" s="92">
        <f t="shared" si="17"/>
        <v>3.6659303989373648</v>
      </c>
      <c r="AG24" s="92">
        <f t="shared" si="7"/>
        <v>9.4073319828971477E-2</v>
      </c>
      <c r="AH24" s="92">
        <f t="shared" si="18"/>
        <v>1.2216378348214285</v>
      </c>
      <c r="AI24" s="95">
        <f t="shared" si="19"/>
        <v>1.3157111546503999</v>
      </c>
      <c r="AJ24" s="94">
        <f t="shared" si="20"/>
        <v>1.2466666666666668</v>
      </c>
      <c r="AK24" s="92">
        <f t="shared" si="21"/>
        <v>2.5148075065946847</v>
      </c>
      <c r="AL24" s="92">
        <f t="shared" si="8"/>
        <v>4.4269797566574828E-2</v>
      </c>
      <c r="AM24" s="92">
        <f t="shared" si="22"/>
        <v>0.34846000000000005</v>
      </c>
      <c r="AN24" s="211">
        <f t="shared" si="23"/>
        <v>0.12928371212121215</v>
      </c>
      <c r="AO24" s="95">
        <f t="shared" si="24"/>
        <v>0.52201350968778704</v>
      </c>
      <c r="AP24" s="94">
        <f t="shared" si="25"/>
        <v>2.9644953727617069E-2</v>
      </c>
      <c r="AQ24" s="230">
        <f t="shared" si="9"/>
        <v>0.11857981491046828</v>
      </c>
      <c r="AR24" s="230">
        <f t="shared" si="10"/>
        <v>2.2167935757072685</v>
      </c>
      <c r="AS24" s="92">
        <f t="shared" si="11"/>
        <v>3.6000000000000004E-2</v>
      </c>
      <c r="AT24" s="95">
        <f t="shared" si="12"/>
        <v>4.7519999999999999E-5</v>
      </c>
      <c r="AU24" s="94">
        <f t="shared" si="26"/>
        <v>4.3573703435940088</v>
      </c>
      <c r="AV24" s="92">
        <f t="shared" si="27"/>
        <v>56.099999999999994</v>
      </c>
      <c r="AW24" s="95">
        <f t="shared" si="28"/>
        <v>92.792656513457331</v>
      </c>
    </row>
    <row r="25" spans="17:49" x14ac:dyDescent="0.25">
      <c r="Q25" s="32">
        <v>18</v>
      </c>
      <c r="R25" s="94">
        <f t="shared" si="0"/>
        <v>45</v>
      </c>
      <c r="S25" s="92">
        <f t="shared" si="1"/>
        <v>1.32</v>
      </c>
      <c r="T25" s="92">
        <f t="shared" si="2"/>
        <v>14.4</v>
      </c>
      <c r="U25" s="95">
        <f t="shared" si="3"/>
        <v>4.125</v>
      </c>
      <c r="V25" s="94">
        <f>IF(Variable_Management!$B$23=3,2,IF((S25*R25/T25)&lt;((T25*(1-(T25/R25)))/(2*Lm*Fsw)),1,2))</f>
        <v>2</v>
      </c>
      <c r="W25" s="92">
        <f t="shared" si="13"/>
        <v>0.67999999999999994</v>
      </c>
      <c r="X25" s="95">
        <f t="shared" si="4"/>
        <v>0.32000000000000006</v>
      </c>
      <c r="Y25" s="94">
        <f t="shared" si="5"/>
        <v>7.4181818181818189</v>
      </c>
      <c r="Z25" s="92">
        <f t="shared" si="30"/>
        <v>7.834090909090909</v>
      </c>
      <c r="AA25" s="92">
        <f t="shared" si="31"/>
        <v>4.6477317181574653</v>
      </c>
      <c r="AB25" s="92">
        <v>0</v>
      </c>
      <c r="AC25" s="92">
        <f t="shared" si="6"/>
        <v>0.12960846074380167</v>
      </c>
      <c r="AD25" s="95">
        <f t="shared" si="16"/>
        <v>0.12960846074380167</v>
      </c>
      <c r="AE25" s="94">
        <f t="shared" si="29"/>
        <v>2.8049999999999997</v>
      </c>
      <c r="AF25" s="92">
        <f t="shared" si="17"/>
        <v>3.8326177586993353</v>
      </c>
      <c r="AG25" s="92">
        <f t="shared" si="7"/>
        <v>0.10282271219008261</v>
      </c>
      <c r="AH25" s="92">
        <f t="shared" si="18"/>
        <v>1.2934988839285715</v>
      </c>
      <c r="AI25" s="95">
        <f t="shared" si="19"/>
        <v>1.3963215961186541</v>
      </c>
      <c r="AJ25" s="94">
        <f t="shared" si="20"/>
        <v>1.3200000000000003</v>
      </c>
      <c r="AK25" s="92">
        <f t="shared" si="21"/>
        <v>2.6291540920359577</v>
      </c>
      <c r="AL25" s="92">
        <f t="shared" si="8"/>
        <v>4.8387158677685949E-2</v>
      </c>
      <c r="AM25" s="92">
        <f t="shared" si="22"/>
        <v>0.34846000000000005</v>
      </c>
      <c r="AN25" s="211">
        <f t="shared" si="23"/>
        <v>0.13317954545454547</v>
      </c>
      <c r="AO25" s="95">
        <f t="shared" si="24"/>
        <v>0.53002670413223152</v>
      </c>
      <c r="AP25" s="94">
        <f t="shared" si="25"/>
        <v>3.2402115185950417E-2</v>
      </c>
      <c r="AQ25" s="230">
        <f t="shared" si="9"/>
        <v>0.12960846074380167</v>
      </c>
      <c r="AR25" s="230">
        <f t="shared" si="10"/>
        <v>2.2167935757072685</v>
      </c>
      <c r="AS25" s="92">
        <f t="shared" si="11"/>
        <v>3.6000000000000004E-2</v>
      </c>
      <c r="AT25" s="95">
        <f t="shared" si="12"/>
        <v>4.7519999999999999E-5</v>
      </c>
      <c r="AU25" s="94">
        <f t="shared" si="26"/>
        <v>4.4708084326317081</v>
      </c>
      <c r="AV25" s="92">
        <f t="shared" si="27"/>
        <v>59.400000000000006</v>
      </c>
      <c r="AW25" s="95">
        <f t="shared" si="28"/>
        <v>93.000231964579982</v>
      </c>
    </row>
    <row r="26" spans="17:49" x14ac:dyDescent="0.25">
      <c r="Q26" s="32">
        <v>19</v>
      </c>
      <c r="R26" s="94">
        <f t="shared" si="0"/>
        <v>45</v>
      </c>
      <c r="S26" s="92">
        <f t="shared" si="1"/>
        <v>1.3933333333333333</v>
      </c>
      <c r="T26" s="92">
        <f t="shared" si="2"/>
        <v>14.4</v>
      </c>
      <c r="U26" s="95">
        <f t="shared" si="3"/>
        <v>4.3541666666666661</v>
      </c>
      <c r="V26" s="94">
        <f>IF(Variable_Management!$B$23=3,2,IF((S26*R26/T26)&lt;((T26*(1-(T26/R26)))/(2*Lm*Fsw)),1,2))</f>
        <v>2</v>
      </c>
      <c r="W26" s="92">
        <f t="shared" si="13"/>
        <v>0.67999999999999994</v>
      </c>
      <c r="X26" s="95">
        <f t="shared" si="4"/>
        <v>0.32000000000000006</v>
      </c>
      <c r="Y26" s="94">
        <f t="shared" si="5"/>
        <v>7.4181818181818189</v>
      </c>
      <c r="Z26" s="92">
        <f t="shared" si="30"/>
        <v>8.0632575757575751</v>
      </c>
      <c r="AA26" s="92">
        <f t="shared" si="31"/>
        <v>4.8522729194757845</v>
      </c>
      <c r="AB26" s="92">
        <v>0</v>
      </c>
      <c r="AC26" s="92">
        <f t="shared" si="6"/>
        <v>0.14126731491046832</v>
      </c>
      <c r="AD26" s="95">
        <f t="shared" si="16"/>
        <v>0.14126731491046832</v>
      </c>
      <c r="AE26" s="94">
        <f t="shared" si="29"/>
        <v>2.9608333333333325</v>
      </c>
      <c r="AF26" s="92">
        <f t="shared" si="17"/>
        <v>4.0012867542645658</v>
      </c>
      <c r="AG26" s="92">
        <f t="shared" si="7"/>
        <v>0.11207206982897144</v>
      </c>
      <c r="AH26" s="92">
        <f t="shared" si="18"/>
        <v>1.365359933035714</v>
      </c>
      <c r="AI26" s="95">
        <f t="shared" si="19"/>
        <v>1.4774320028646855</v>
      </c>
      <c r="AJ26" s="94">
        <f t="shared" si="20"/>
        <v>1.3933333333333333</v>
      </c>
      <c r="AK26" s="92">
        <f t="shared" si="21"/>
        <v>2.7448600684233386</v>
      </c>
      <c r="AL26" s="92">
        <f t="shared" si="8"/>
        <v>5.2739797566574827E-2</v>
      </c>
      <c r="AM26" s="92">
        <f t="shared" si="22"/>
        <v>0.34846000000000005</v>
      </c>
      <c r="AN26" s="211">
        <f t="shared" si="23"/>
        <v>0.13707537878787879</v>
      </c>
      <c r="AO26" s="95">
        <f t="shared" si="24"/>
        <v>0.53827517635445365</v>
      </c>
      <c r="AP26" s="94">
        <f t="shared" si="25"/>
        <v>3.5316828727617079E-2</v>
      </c>
      <c r="AQ26" s="230">
        <f t="shared" si="9"/>
        <v>0.14126731491046832</v>
      </c>
      <c r="AR26" s="230">
        <f t="shared" si="10"/>
        <v>2.2167935757072685</v>
      </c>
      <c r="AS26" s="92">
        <f t="shared" si="11"/>
        <v>3.6000000000000004E-2</v>
      </c>
      <c r="AT26" s="95">
        <f t="shared" si="12"/>
        <v>4.7519999999999999E-5</v>
      </c>
      <c r="AU26" s="94">
        <f t="shared" si="26"/>
        <v>4.5863997334749609</v>
      </c>
      <c r="AV26" s="92">
        <f t="shared" si="27"/>
        <v>62.699999999999996</v>
      </c>
      <c r="AW26" s="95">
        <f t="shared" si="28"/>
        <v>93.183764101450024</v>
      </c>
    </row>
    <row r="27" spans="17:49" x14ac:dyDescent="0.25">
      <c r="Q27" s="32">
        <v>20</v>
      </c>
      <c r="R27" s="94">
        <f t="shared" si="0"/>
        <v>45</v>
      </c>
      <c r="S27" s="92">
        <f t="shared" si="1"/>
        <v>1.4666666666666668</v>
      </c>
      <c r="T27" s="92">
        <f t="shared" si="2"/>
        <v>14.4</v>
      </c>
      <c r="U27" s="95">
        <f t="shared" si="3"/>
        <v>4.583333333333333</v>
      </c>
      <c r="V27" s="94">
        <f>IF(Variable_Management!$B$23=3,2,IF((S27*R27/T27)&lt;((T27*(1-(T27/R27)))/(2*Lm*Fsw)),1,2))</f>
        <v>2</v>
      </c>
      <c r="W27" s="92">
        <f t="shared" si="13"/>
        <v>0.67999999999999994</v>
      </c>
      <c r="X27" s="95">
        <f t="shared" si="4"/>
        <v>0.32000000000000006</v>
      </c>
      <c r="Y27" s="94">
        <f t="shared" si="5"/>
        <v>7.4181818181818189</v>
      </c>
      <c r="Z27" s="92">
        <f t="shared" si="30"/>
        <v>8.2924242424242429</v>
      </c>
      <c r="AA27" s="92">
        <f t="shared" si="31"/>
        <v>5.0589257326443713</v>
      </c>
      <c r="AB27" s="92">
        <v>0</v>
      </c>
      <c r="AC27" s="92">
        <f t="shared" si="6"/>
        <v>0.15355637741046835</v>
      </c>
      <c r="AD27" s="95">
        <f t="shared" si="16"/>
        <v>0.15355637741046835</v>
      </c>
      <c r="AE27" s="94">
        <f t="shared" si="29"/>
        <v>3.1166666666666663</v>
      </c>
      <c r="AF27" s="92">
        <f t="shared" si="17"/>
        <v>4.1716970295695903</v>
      </c>
      <c r="AG27" s="92">
        <f t="shared" si="7"/>
        <v>0.12182139274563819</v>
      </c>
      <c r="AH27" s="92">
        <f t="shared" si="18"/>
        <v>1.4372209821428572</v>
      </c>
      <c r="AI27" s="95">
        <f t="shared" si="19"/>
        <v>1.5590423748884954</v>
      </c>
      <c r="AJ27" s="94">
        <f t="shared" si="20"/>
        <v>1.4666666666666668</v>
      </c>
      <c r="AK27" s="92">
        <f t="shared" si="21"/>
        <v>2.8617605528575671</v>
      </c>
      <c r="AL27" s="92">
        <f t="shared" si="8"/>
        <v>5.7327714233241532E-2</v>
      </c>
      <c r="AM27" s="92">
        <f t="shared" si="22"/>
        <v>0.34846000000000005</v>
      </c>
      <c r="AN27" s="211">
        <f t="shared" si="23"/>
        <v>0.14097121212121214</v>
      </c>
      <c r="AO27" s="95">
        <f t="shared" si="24"/>
        <v>0.54675892635445367</v>
      </c>
      <c r="AP27" s="94">
        <f t="shared" si="25"/>
        <v>3.8389094352617087E-2</v>
      </c>
      <c r="AQ27" s="230">
        <f t="shared" si="9"/>
        <v>0.15355637741046835</v>
      </c>
      <c r="AR27" s="230">
        <f t="shared" si="10"/>
        <v>2.2167935757072685</v>
      </c>
      <c r="AS27" s="92">
        <f t="shared" si="11"/>
        <v>3.6000000000000004E-2</v>
      </c>
      <c r="AT27" s="95">
        <f t="shared" si="12"/>
        <v>4.7519999999999999E-5</v>
      </c>
      <c r="AU27" s="94">
        <f t="shared" si="26"/>
        <v>4.7041442461237715</v>
      </c>
      <c r="AV27" s="92">
        <f t="shared" si="27"/>
        <v>66</v>
      </c>
      <c r="AW27" s="95">
        <f t="shared" si="28"/>
        <v>93.346720625387292</v>
      </c>
    </row>
    <row r="28" spans="17:49" x14ac:dyDescent="0.25">
      <c r="Q28" s="32">
        <v>21</v>
      </c>
      <c r="R28" s="94">
        <f t="shared" si="0"/>
        <v>45</v>
      </c>
      <c r="S28" s="92">
        <f t="shared" si="1"/>
        <v>1.54</v>
      </c>
      <c r="T28" s="92">
        <f t="shared" si="2"/>
        <v>14.4</v>
      </c>
      <c r="U28" s="95">
        <f t="shared" si="3"/>
        <v>4.8125</v>
      </c>
      <c r="V28" s="94">
        <f>IF(Variable_Management!$B$23=3,2,IF((S28*R28/T28)&lt;((T28*(1-(T28/R28)))/(2*Lm*Fsw)),1,2))</f>
        <v>2</v>
      </c>
      <c r="W28" s="92">
        <f t="shared" si="13"/>
        <v>0.67999999999999994</v>
      </c>
      <c r="X28" s="95">
        <f t="shared" si="4"/>
        <v>0.32000000000000006</v>
      </c>
      <c r="Y28" s="94">
        <f t="shared" si="5"/>
        <v>7.4181818181818189</v>
      </c>
      <c r="Z28" s="92">
        <f t="shared" si="30"/>
        <v>8.521590909090909</v>
      </c>
      <c r="AA28" s="92">
        <f t="shared" si="31"/>
        <v>5.2674416346046913</v>
      </c>
      <c r="AB28" s="92">
        <v>0</v>
      </c>
      <c r="AC28" s="92">
        <f t="shared" si="6"/>
        <v>0.16647564824380165</v>
      </c>
      <c r="AD28" s="95">
        <f t="shared" si="16"/>
        <v>0.16647564824380165</v>
      </c>
      <c r="AE28" s="94">
        <f t="shared" si="29"/>
        <v>3.2724999999999995</v>
      </c>
      <c r="AF28" s="92">
        <f t="shared" si="17"/>
        <v>4.3436436472502571</v>
      </c>
      <c r="AG28" s="92">
        <f t="shared" si="7"/>
        <v>0.13207068094008259</v>
      </c>
      <c r="AH28" s="92">
        <f t="shared" si="18"/>
        <v>1.50908203125</v>
      </c>
      <c r="AI28" s="95">
        <f t="shared" si="19"/>
        <v>1.6411527121900826</v>
      </c>
      <c r="AJ28" s="94">
        <f t="shared" si="20"/>
        <v>1.5400000000000003</v>
      </c>
      <c r="AK28" s="92">
        <f t="shared" si="21"/>
        <v>2.9797149594666639</v>
      </c>
      <c r="AL28" s="92">
        <f t="shared" si="8"/>
        <v>6.2150908677685954E-2</v>
      </c>
      <c r="AM28" s="92">
        <f t="shared" si="22"/>
        <v>0.34846000000000005</v>
      </c>
      <c r="AN28" s="211">
        <f t="shared" si="23"/>
        <v>0.14486704545454546</v>
      </c>
      <c r="AO28" s="95">
        <f t="shared" si="24"/>
        <v>0.55547795413223144</v>
      </c>
      <c r="AP28" s="94">
        <f t="shared" si="25"/>
        <v>4.1618912060950412E-2</v>
      </c>
      <c r="AQ28" s="230">
        <f t="shared" si="9"/>
        <v>0.16647564824380165</v>
      </c>
      <c r="AR28" s="230">
        <f t="shared" si="10"/>
        <v>2.2167935757072685</v>
      </c>
      <c r="AS28" s="92">
        <f t="shared" si="11"/>
        <v>3.6000000000000004E-2</v>
      </c>
      <c r="AT28" s="95">
        <f t="shared" si="12"/>
        <v>4.7519999999999999E-5</v>
      </c>
      <c r="AU28" s="94">
        <f t="shared" si="26"/>
        <v>4.8240419705781363</v>
      </c>
      <c r="AV28" s="92">
        <f t="shared" si="27"/>
        <v>69.3</v>
      </c>
      <c r="AW28" s="95">
        <f t="shared" si="28"/>
        <v>93.491933464053503</v>
      </c>
    </row>
    <row r="29" spans="17:49" x14ac:dyDescent="0.25">
      <c r="Q29" s="32">
        <v>22</v>
      </c>
      <c r="R29" s="94">
        <f t="shared" si="0"/>
        <v>45</v>
      </c>
      <c r="S29" s="92">
        <f t="shared" si="1"/>
        <v>1.6133333333333333</v>
      </c>
      <c r="T29" s="92">
        <f t="shared" si="2"/>
        <v>14.4</v>
      </c>
      <c r="U29" s="95">
        <f t="shared" si="3"/>
        <v>5.0416666666666661</v>
      </c>
      <c r="V29" s="94">
        <f>IF(Variable_Management!$B$23=3,2,IF((S29*R29/T29)&lt;((T29*(1-(T29/R29)))/(2*Lm*Fsw)),1,2))</f>
        <v>2</v>
      </c>
      <c r="W29" s="92">
        <f t="shared" si="13"/>
        <v>0.67999999999999994</v>
      </c>
      <c r="X29" s="95">
        <f t="shared" si="4"/>
        <v>0.32000000000000006</v>
      </c>
      <c r="Y29" s="94">
        <f t="shared" si="5"/>
        <v>7.4181818181818189</v>
      </c>
      <c r="Z29" s="92">
        <f t="shared" si="30"/>
        <v>8.7507575757575751</v>
      </c>
      <c r="AA29" s="92">
        <f t="shared" si="31"/>
        <v>5.4776078630862868</v>
      </c>
      <c r="AB29" s="92">
        <v>0</v>
      </c>
      <c r="AC29" s="92">
        <f t="shared" si="6"/>
        <v>0.18002512741046831</v>
      </c>
      <c r="AD29" s="95">
        <f t="shared" si="16"/>
        <v>0.18002512741046831</v>
      </c>
      <c r="AE29" s="94">
        <f t="shared" si="29"/>
        <v>3.4283333333333328</v>
      </c>
      <c r="AF29" s="92">
        <f t="shared" si="17"/>
        <v>4.5169511590437201</v>
      </c>
      <c r="AG29" s="92">
        <f t="shared" si="7"/>
        <v>0.14281993441230484</v>
      </c>
      <c r="AH29" s="92">
        <f t="shared" si="18"/>
        <v>1.5809430803571425</v>
      </c>
      <c r="AI29" s="95">
        <f t="shared" si="19"/>
        <v>1.7237630147694474</v>
      </c>
      <c r="AJ29" s="94">
        <f t="shared" si="20"/>
        <v>1.6133333333333335</v>
      </c>
      <c r="AK29" s="92">
        <f t="shared" si="21"/>
        <v>3.0986029317352539</v>
      </c>
      <c r="AL29" s="92">
        <f t="shared" si="8"/>
        <v>6.7209380899908175E-2</v>
      </c>
      <c r="AM29" s="92">
        <f t="shared" si="22"/>
        <v>0.34846000000000005</v>
      </c>
      <c r="AN29" s="211">
        <f t="shared" si="23"/>
        <v>0.14876287878787878</v>
      </c>
      <c r="AO29" s="95">
        <f t="shared" si="24"/>
        <v>0.56443225968778699</v>
      </c>
      <c r="AP29" s="94">
        <f t="shared" si="25"/>
        <v>4.5006281852617076E-2</v>
      </c>
      <c r="AQ29" s="230">
        <f t="shared" si="9"/>
        <v>0.18002512741046831</v>
      </c>
      <c r="AR29" s="230">
        <f t="shared" si="10"/>
        <v>2.2167935757072685</v>
      </c>
      <c r="AS29" s="92">
        <f t="shared" si="11"/>
        <v>3.6000000000000004E-2</v>
      </c>
      <c r="AT29" s="95">
        <f t="shared" si="12"/>
        <v>4.7519999999999999E-5</v>
      </c>
      <c r="AU29" s="94">
        <f t="shared" si="26"/>
        <v>4.9460929068380572</v>
      </c>
      <c r="AV29" s="92">
        <f t="shared" si="27"/>
        <v>72.599999999999994</v>
      </c>
      <c r="AW29" s="95">
        <f t="shared" si="28"/>
        <v>93.6217380896544</v>
      </c>
    </row>
    <row r="30" spans="17:49" x14ac:dyDescent="0.25">
      <c r="Q30" s="32">
        <v>23</v>
      </c>
      <c r="R30" s="94">
        <f t="shared" si="0"/>
        <v>45</v>
      </c>
      <c r="S30" s="92">
        <f t="shared" si="1"/>
        <v>1.6866666666666668</v>
      </c>
      <c r="T30" s="92">
        <f t="shared" si="2"/>
        <v>14.4</v>
      </c>
      <c r="U30" s="95">
        <f t="shared" si="3"/>
        <v>5.2708333333333339</v>
      </c>
      <c r="V30" s="94">
        <f>IF(Variable_Management!$B$23=3,2,IF((S30*R30/T30)&lt;((T30*(1-(T30/R30)))/(2*Lm*Fsw)),1,2))</f>
        <v>2</v>
      </c>
      <c r="W30" s="92">
        <f t="shared" si="13"/>
        <v>0.67999999999999994</v>
      </c>
      <c r="X30" s="95">
        <f t="shared" si="4"/>
        <v>0.32000000000000006</v>
      </c>
      <c r="Y30" s="94">
        <f t="shared" si="5"/>
        <v>7.4181818181818189</v>
      </c>
      <c r="Z30" s="92">
        <f t="shared" si="30"/>
        <v>8.9799242424242429</v>
      </c>
      <c r="AA30" s="92">
        <f t="shared" si="31"/>
        <v>5.6892415269299939</v>
      </c>
      <c r="AB30" s="92">
        <v>0</v>
      </c>
      <c r="AC30" s="92">
        <f t="shared" si="6"/>
        <v>0.19420481491046837</v>
      </c>
      <c r="AD30" s="95">
        <f t="shared" si="16"/>
        <v>0.19420481491046837</v>
      </c>
      <c r="AE30" s="94">
        <f t="shared" si="29"/>
        <v>3.5841666666666669</v>
      </c>
      <c r="AF30" s="92">
        <f t="shared" si="17"/>
        <v>4.6914687490365319</v>
      </c>
      <c r="AG30" s="92">
        <f t="shared" si="7"/>
        <v>0.15406915316230479</v>
      </c>
      <c r="AH30" s="92">
        <f t="shared" si="18"/>
        <v>1.6528041294642859</v>
      </c>
      <c r="AI30" s="95">
        <f t="shared" si="19"/>
        <v>1.8068732826265907</v>
      </c>
      <c r="AJ30" s="94">
        <f t="shared" si="20"/>
        <v>1.6866666666666672</v>
      </c>
      <c r="AK30" s="92">
        <f t="shared" si="21"/>
        <v>3.2183210108002451</v>
      </c>
      <c r="AL30" s="92">
        <f t="shared" si="8"/>
        <v>7.2503130899908175E-2</v>
      </c>
      <c r="AM30" s="92">
        <f t="shared" si="22"/>
        <v>0.34846000000000005</v>
      </c>
      <c r="AN30" s="211">
        <f t="shared" si="23"/>
        <v>0.15265871212121215</v>
      </c>
      <c r="AO30" s="95">
        <f t="shared" si="24"/>
        <v>0.5736218430211204</v>
      </c>
      <c r="AP30" s="94">
        <f t="shared" si="25"/>
        <v>4.8551203727617093E-2</v>
      </c>
      <c r="AQ30" s="230">
        <f t="shared" si="9"/>
        <v>0.19420481491046837</v>
      </c>
      <c r="AR30" s="230">
        <f t="shared" si="10"/>
        <v>2.2167935757072685</v>
      </c>
      <c r="AS30" s="92">
        <f t="shared" si="11"/>
        <v>3.6000000000000004E-2</v>
      </c>
      <c r="AT30" s="95">
        <f t="shared" si="12"/>
        <v>4.7519999999999999E-5</v>
      </c>
      <c r="AU30" s="94">
        <f t="shared" si="26"/>
        <v>5.0702970549035342</v>
      </c>
      <c r="AV30" s="92">
        <f t="shared" si="27"/>
        <v>75.900000000000006</v>
      </c>
      <c r="AW30" s="95">
        <f t="shared" si="28"/>
        <v>93.738077740451516</v>
      </c>
    </row>
    <row r="31" spans="17:49" x14ac:dyDescent="0.25">
      <c r="Q31" s="32">
        <v>24</v>
      </c>
      <c r="R31" s="94">
        <f t="shared" si="0"/>
        <v>45</v>
      </c>
      <c r="S31" s="92">
        <f t="shared" si="1"/>
        <v>1.76</v>
      </c>
      <c r="T31" s="92">
        <f t="shared" si="2"/>
        <v>14.4</v>
      </c>
      <c r="U31" s="95">
        <f t="shared" si="3"/>
        <v>5.5</v>
      </c>
      <c r="V31" s="94">
        <f>IF(Variable_Management!$B$23=3,2,IF((S31*R31/T31)&lt;((T31*(1-(T31/R31)))/(2*Lm*Fsw)),1,2))</f>
        <v>2</v>
      </c>
      <c r="W31" s="92">
        <f t="shared" si="13"/>
        <v>0.67999999999999994</v>
      </c>
      <c r="X31" s="95">
        <f t="shared" si="4"/>
        <v>0.32000000000000006</v>
      </c>
      <c r="Y31" s="94">
        <f t="shared" si="5"/>
        <v>7.4181818181818189</v>
      </c>
      <c r="Z31" s="92">
        <f t="shared" si="30"/>
        <v>9.209090909090909</v>
      </c>
      <c r="AA31" s="92">
        <f t="shared" si="31"/>
        <v>5.9021847754850016</v>
      </c>
      <c r="AB31" s="92">
        <v>0</v>
      </c>
      <c r="AC31" s="92">
        <f t="shared" si="6"/>
        <v>0.20901471074380162</v>
      </c>
      <c r="AD31" s="95">
        <f t="shared" si="16"/>
        <v>0.20901471074380162</v>
      </c>
      <c r="AE31" s="94">
        <f t="shared" si="29"/>
        <v>3.7399999999999998</v>
      </c>
      <c r="AF31" s="92">
        <f t="shared" si="17"/>
        <v>4.867066250247424</v>
      </c>
      <c r="AG31" s="92">
        <f t="shared" si="7"/>
        <v>0.16581833719008265</v>
      </c>
      <c r="AH31" s="92">
        <f t="shared" si="18"/>
        <v>1.7246651785714286</v>
      </c>
      <c r="AI31" s="95">
        <f t="shared" si="19"/>
        <v>1.8904835157615114</v>
      </c>
      <c r="AJ31" s="94">
        <f t="shared" si="20"/>
        <v>1.7600000000000002</v>
      </c>
      <c r="AK31" s="92">
        <f t="shared" si="21"/>
        <v>3.3387799028491565</v>
      </c>
      <c r="AL31" s="92">
        <f t="shared" si="8"/>
        <v>7.8032158677685953E-2</v>
      </c>
      <c r="AM31" s="92">
        <f t="shared" si="22"/>
        <v>0.34846000000000005</v>
      </c>
      <c r="AN31" s="211">
        <f t="shared" si="23"/>
        <v>0.15655454545454547</v>
      </c>
      <c r="AO31" s="95">
        <f t="shared" si="24"/>
        <v>0.58304670413223147</v>
      </c>
      <c r="AP31" s="94">
        <f t="shared" si="25"/>
        <v>5.2253677685950406E-2</v>
      </c>
      <c r="AQ31" s="230">
        <f t="shared" si="9"/>
        <v>0.20901471074380162</v>
      </c>
      <c r="AR31" s="230">
        <f t="shared" si="10"/>
        <v>2.2167935757072685</v>
      </c>
      <c r="AS31" s="92">
        <f t="shared" si="11"/>
        <v>3.6000000000000004E-2</v>
      </c>
      <c r="AT31" s="95">
        <f t="shared" si="12"/>
        <v>4.7519999999999999E-5</v>
      </c>
      <c r="AU31" s="94">
        <f t="shared" si="26"/>
        <v>5.1966544147745655</v>
      </c>
      <c r="AV31" s="92">
        <f t="shared" si="27"/>
        <v>79.2</v>
      </c>
      <c r="AW31" s="95">
        <f t="shared" si="28"/>
        <v>93.842582444992232</v>
      </c>
    </row>
    <row r="32" spans="17:49" x14ac:dyDescent="0.25">
      <c r="Q32" s="32">
        <v>25</v>
      </c>
      <c r="R32" s="94">
        <f t="shared" si="0"/>
        <v>45</v>
      </c>
      <c r="S32" s="92">
        <f t="shared" si="1"/>
        <v>1.8333333333333333</v>
      </c>
      <c r="T32" s="92">
        <f t="shared" si="2"/>
        <v>14.4</v>
      </c>
      <c r="U32" s="95">
        <f t="shared" si="3"/>
        <v>5.729166666666667</v>
      </c>
      <c r="V32" s="94">
        <f>IF(Variable_Management!$B$23=3,2,IF((S32*R32/T32)&lt;((T32*(1-(T32/R32)))/(2*Lm*Fsw)),1,2))</f>
        <v>2</v>
      </c>
      <c r="W32" s="92">
        <f t="shared" si="13"/>
        <v>0.67999999999999994</v>
      </c>
      <c r="X32" s="95">
        <f t="shared" si="4"/>
        <v>0.32000000000000006</v>
      </c>
      <c r="Y32" s="94">
        <f t="shared" si="5"/>
        <v>7.4181818181818189</v>
      </c>
      <c r="Z32" s="92">
        <f t="shared" si="30"/>
        <v>9.4382575757575768</v>
      </c>
      <c r="AA32" s="92">
        <f t="shared" si="31"/>
        <v>6.1163008279851141</v>
      </c>
      <c r="AB32" s="92">
        <v>0</v>
      </c>
      <c r="AC32" s="92">
        <f t="shared" si="6"/>
        <v>0.22445481491046837</v>
      </c>
      <c r="AD32" s="95">
        <f t="shared" si="16"/>
        <v>0.22445481491046837</v>
      </c>
      <c r="AE32" s="94">
        <f t="shared" si="29"/>
        <v>3.895833333333333</v>
      </c>
      <c r="AF32" s="92">
        <f t="shared" si="17"/>
        <v>5.0436308703670756</v>
      </c>
      <c r="AG32" s="92">
        <f t="shared" si="7"/>
        <v>0.17806748649563822</v>
      </c>
      <c r="AH32" s="92">
        <f t="shared" si="18"/>
        <v>1.7965262276785714</v>
      </c>
      <c r="AI32" s="95">
        <f t="shared" si="19"/>
        <v>1.9745937141742096</v>
      </c>
      <c r="AJ32" s="94">
        <f t="shared" si="20"/>
        <v>1.8333333333333337</v>
      </c>
      <c r="AK32" s="92">
        <f t="shared" si="21"/>
        <v>3.4599022329961358</v>
      </c>
      <c r="AL32" s="92">
        <f t="shared" si="8"/>
        <v>8.3796464233241524E-2</v>
      </c>
      <c r="AM32" s="92">
        <f t="shared" si="22"/>
        <v>0.34846000000000005</v>
      </c>
      <c r="AN32" s="211">
        <f t="shared" si="23"/>
        <v>0.16045037878787882</v>
      </c>
      <c r="AO32" s="95">
        <f t="shared" si="24"/>
        <v>0.59270684302112042</v>
      </c>
      <c r="AP32" s="94">
        <f t="shared" si="25"/>
        <v>5.6113703727617092E-2</v>
      </c>
      <c r="AQ32" s="230">
        <f t="shared" si="9"/>
        <v>0.22445481491046837</v>
      </c>
      <c r="AR32" s="230">
        <f t="shared" si="10"/>
        <v>2.2167935757072685</v>
      </c>
      <c r="AS32" s="92">
        <f t="shared" si="11"/>
        <v>3.6000000000000004E-2</v>
      </c>
      <c r="AT32" s="95">
        <f t="shared" si="12"/>
        <v>4.7519999999999999E-5</v>
      </c>
      <c r="AU32" s="94">
        <f t="shared" si="26"/>
        <v>5.3251649864511519</v>
      </c>
      <c r="AV32" s="92">
        <f t="shared" si="27"/>
        <v>82.5</v>
      </c>
      <c r="AW32" s="95">
        <f t="shared" si="28"/>
        <v>93.936629680943184</v>
      </c>
    </row>
    <row r="33" spans="17:49" x14ac:dyDescent="0.25">
      <c r="Q33" s="32">
        <v>26</v>
      </c>
      <c r="R33" s="94">
        <f t="shared" si="0"/>
        <v>45</v>
      </c>
      <c r="S33" s="92">
        <f t="shared" si="1"/>
        <v>1.9066666666666667</v>
      </c>
      <c r="T33" s="92">
        <f t="shared" si="2"/>
        <v>14.4</v>
      </c>
      <c r="U33" s="95">
        <f t="shared" si="3"/>
        <v>5.958333333333333</v>
      </c>
      <c r="V33" s="94">
        <f>IF(Variable_Management!$B$23=3,2,IF((S33*R33/T33)&lt;((T33*(1-(T33/R33)))/(2*Lm*Fsw)),1,2))</f>
        <v>2</v>
      </c>
      <c r="W33" s="92">
        <f t="shared" si="13"/>
        <v>0.67999999999999994</v>
      </c>
      <c r="X33" s="95">
        <f t="shared" si="4"/>
        <v>0.32000000000000006</v>
      </c>
      <c r="Y33" s="94">
        <f t="shared" si="5"/>
        <v>7.4181818181818189</v>
      </c>
      <c r="Z33" s="92">
        <f t="shared" si="30"/>
        <v>9.6674242424242429</v>
      </c>
      <c r="AA33" s="92">
        <f t="shared" si="31"/>
        <v>6.331470700799148</v>
      </c>
      <c r="AB33" s="92">
        <v>0</v>
      </c>
      <c r="AC33" s="92">
        <f t="shared" si="6"/>
        <v>0.24052512741046836</v>
      </c>
      <c r="AD33" s="95">
        <f t="shared" si="16"/>
        <v>0.24052512741046836</v>
      </c>
      <c r="AE33" s="94">
        <f t="shared" si="29"/>
        <v>4.0516666666666659</v>
      </c>
      <c r="AF33" s="92">
        <f t="shared" si="17"/>
        <v>5.2210644929796715</v>
      </c>
      <c r="AG33" s="92">
        <f t="shared" si="7"/>
        <v>0.19081660107897153</v>
      </c>
      <c r="AH33" s="92">
        <f t="shared" si="18"/>
        <v>1.8683872767857141</v>
      </c>
      <c r="AI33" s="95">
        <f t="shared" si="19"/>
        <v>2.0592038778646855</v>
      </c>
      <c r="AJ33" s="94">
        <f t="shared" si="20"/>
        <v>1.906666666666667</v>
      </c>
      <c r="AK33" s="92">
        <f t="shared" si="21"/>
        <v>3.5816206939352164</v>
      </c>
      <c r="AL33" s="92">
        <f t="shared" si="8"/>
        <v>8.9796047566574874E-2</v>
      </c>
      <c r="AM33" s="92">
        <f t="shared" si="22"/>
        <v>0.34846000000000005</v>
      </c>
      <c r="AN33" s="211">
        <f t="shared" si="23"/>
        <v>0.16434621212121214</v>
      </c>
      <c r="AO33" s="95">
        <f t="shared" si="24"/>
        <v>0.60260225968778713</v>
      </c>
      <c r="AP33" s="94">
        <f t="shared" si="25"/>
        <v>6.013128185261709E-2</v>
      </c>
      <c r="AQ33" s="230">
        <f t="shared" si="9"/>
        <v>0.24052512741046836</v>
      </c>
      <c r="AR33" s="230">
        <f t="shared" si="10"/>
        <v>2.2167935757072685</v>
      </c>
      <c r="AS33" s="92">
        <f t="shared" si="11"/>
        <v>3.6000000000000004E-2</v>
      </c>
      <c r="AT33" s="95">
        <f t="shared" si="12"/>
        <v>4.7519999999999999E-5</v>
      </c>
      <c r="AU33" s="94">
        <f t="shared" si="26"/>
        <v>5.4558287699332944</v>
      </c>
      <c r="AV33" s="92">
        <f t="shared" si="27"/>
        <v>85.8</v>
      </c>
      <c r="AW33" s="95">
        <f t="shared" si="28"/>
        <v>94.0213914623601</v>
      </c>
    </row>
    <row r="34" spans="17:49" x14ac:dyDescent="0.25">
      <c r="Q34" s="32">
        <v>27</v>
      </c>
      <c r="R34" s="94">
        <f t="shared" si="0"/>
        <v>45</v>
      </c>
      <c r="S34" s="92">
        <f t="shared" si="1"/>
        <v>1.98</v>
      </c>
      <c r="T34" s="92">
        <f t="shared" si="2"/>
        <v>14.4</v>
      </c>
      <c r="U34" s="95">
        <f t="shared" si="3"/>
        <v>6.1874999999999991</v>
      </c>
      <c r="V34" s="94">
        <f>IF(Variable_Management!$B$23=3,2,IF((S34*R34/T34)&lt;((T34*(1-(T34/R34)))/(2*Lm*Fsw)),1,2))</f>
        <v>2</v>
      </c>
      <c r="W34" s="92">
        <f t="shared" si="13"/>
        <v>0.67999999999999994</v>
      </c>
      <c r="X34" s="95">
        <f t="shared" si="4"/>
        <v>0.32000000000000006</v>
      </c>
      <c r="Y34" s="94">
        <f t="shared" si="5"/>
        <v>7.4181818181818189</v>
      </c>
      <c r="Z34" s="92">
        <f t="shared" si="30"/>
        <v>9.896590909090909</v>
      </c>
      <c r="AA34" s="92">
        <f t="shared" si="31"/>
        <v>6.5475905013956801</v>
      </c>
      <c r="AB34" s="92">
        <v>0</v>
      </c>
      <c r="AC34" s="92">
        <f t="shared" si="6"/>
        <v>0.25722564824380162</v>
      </c>
      <c r="AD34" s="95">
        <f t="shared" si="16"/>
        <v>0.25722564824380162</v>
      </c>
      <c r="AE34" s="94">
        <f t="shared" si="29"/>
        <v>4.2074999999999987</v>
      </c>
      <c r="AF34" s="92">
        <f t="shared" si="17"/>
        <v>5.3992814461090566</v>
      </c>
      <c r="AG34" s="92">
        <f t="shared" si="7"/>
        <v>0.20406568094008254</v>
      </c>
      <c r="AH34" s="92">
        <f t="shared" si="18"/>
        <v>1.9402483258928567</v>
      </c>
      <c r="AI34" s="95">
        <f t="shared" si="19"/>
        <v>2.1443140068329392</v>
      </c>
      <c r="AJ34" s="94">
        <f t="shared" si="20"/>
        <v>1.9800000000000002</v>
      </c>
      <c r="AK34" s="92">
        <f t="shared" si="21"/>
        <v>3.7038765151756099</v>
      </c>
      <c r="AL34" s="92">
        <f t="shared" si="8"/>
        <v>9.6030908677685933E-2</v>
      </c>
      <c r="AM34" s="92">
        <f t="shared" si="22"/>
        <v>0.34846000000000005</v>
      </c>
      <c r="AN34" s="211">
        <f t="shared" si="23"/>
        <v>0.16824204545454546</v>
      </c>
      <c r="AO34" s="95">
        <f t="shared" si="24"/>
        <v>0.6127329541322315</v>
      </c>
      <c r="AP34" s="94">
        <f t="shared" si="25"/>
        <v>6.4306412060950405E-2</v>
      </c>
      <c r="AQ34" s="230">
        <f t="shared" si="9"/>
        <v>0.25722564824380162</v>
      </c>
      <c r="AR34" s="230">
        <f t="shared" si="10"/>
        <v>2.2167935757072685</v>
      </c>
      <c r="AS34" s="92">
        <f t="shared" si="11"/>
        <v>3.6000000000000004E-2</v>
      </c>
      <c r="AT34" s="95">
        <f t="shared" si="12"/>
        <v>4.7519999999999999E-5</v>
      </c>
      <c r="AU34" s="94">
        <f t="shared" si="26"/>
        <v>5.5886457652209938</v>
      </c>
      <c r="AV34" s="92">
        <f t="shared" si="27"/>
        <v>89.1</v>
      </c>
      <c r="AW34" s="95">
        <f t="shared" si="28"/>
        <v>94.097871270566117</v>
      </c>
    </row>
    <row r="35" spans="17:49" x14ac:dyDescent="0.25">
      <c r="Q35" s="32">
        <v>28</v>
      </c>
      <c r="R35" s="94">
        <f t="shared" si="0"/>
        <v>45</v>
      </c>
      <c r="S35" s="92">
        <f t="shared" si="1"/>
        <v>2.0533333333333332</v>
      </c>
      <c r="T35" s="92">
        <f t="shared" si="2"/>
        <v>14.4</v>
      </c>
      <c r="U35" s="95">
        <f t="shared" si="3"/>
        <v>6.4166666666666661</v>
      </c>
      <c r="V35" s="94">
        <f>IF(Variable_Management!$B$23=3,2,IF((S35*R35/T35)&lt;((T35*(1-(T35/R35)))/(2*Lm*Fsw)),1,2))</f>
        <v>2</v>
      </c>
      <c r="W35" s="92">
        <f t="shared" si="13"/>
        <v>0.67999999999999994</v>
      </c>
      <c r="X35" s="95">
        <f t="shared" si="4"/>
        <v>0.32000000000000006</v>
      </c>
      <c r="Y35" s="94">
        <f t="shared" si="5"/>
        <v>7.4181818181818189</v>
      </c>
      <c r="Z35" s="92">
        <f t="shared" si="30"/>
        <v>10.125757575757575</v>
      </c>
      <c r="AA35" s="92">
        <f t="shared" si="31"/>
        <v>6.7645691832575743</v>
      </c>
      <c r="AB35" s="92">
        <v>0</v>
      </c>
      <c r="AC35" s="92">
        <f t="shared" si="6"/>
        <v>0.27455637741046829</v>
      </c>
      <c r="AD35" s="95">
        <f t="shared" si="16"/>
        <v>0.27455637741046829</v>
      </c>
      <c r="AE35" s="94">
        <f t="shared" si="29"/>
        <v>4.3633333333333324</v>
      </c>
      <c r="AF35" s="92">
        <f t="shared" si="17"/>
        <v>5.5782066508738328</v>
      </c>
      <c r="AG35" s="92">
        <f t="shared" si="7"/>
        <v>0.21781472607897143</v>
      </c>
      <c r="AH35" s="92">
        <f t="shared" si="18"/>
        <v>2.0121093750000001</v>
      </c>
      <c r="AI35" s="95">
        <f t="shared" si="19"/>
        <v>2.2299241010789714</v>
      </c>
      <c r="AJ35" s="94">
        <f t="shared" si="20"/>
        <v>2.0533333333333337</v>
      </c>
      <c r="AK35" s="92">
        <f t="shared" si="21"/>
        <v>3.8266181930295811</v>
      </c>
      <c r="AL35" s="92">
        <f t="shared" si="8"/>
        <v>0.10250104756657483</v>
      </c>
      <c r="AM35" s="92">
        <f t="shared" si="22"/>
        <v>0.34846000000000005</v>
      </c>
      <c r="AN35" s="211">
        <f t="shared" si="23"/>
        <v>0.17213787878787878</v>
      </c>
      <c r="AO35" s="95">
        <f t="shared" si="24"/>
        <v>0.62309892635445363</v>
      </c>
      <c r="AP35" s="94">
        <f t="shared" si="25"/>
        <v>6.8639094352617072E-2</v>
      </c>
      <c r="AQ35" s="230">
        <f t="shared" si="9"/>
        <v>0.27455637741046829</v>
      </c>
      <c r="AR35" s="230">
        <f t="shared" si="10"/>
        <v>2.2167935757072685</v>
      </c>
      <c r="AS35" s="92">
        <f t="shared" si="11"/>
        <v>3.6000000000000004E-2</v>
      </c>
      <c r="AT35" s="95">
        <f t="shared" si="12"/>
        <v>4.7519999999999999E-5</v>
      </c>
      <c r="AU35" s="94">
        <f t="shared" si="26"/>
        <v>5.7236159723142475</v>
      </c>
      <c r="AV35" s="92">
        <f t="shared" si="27"/>
        <v>92.399999999999991</v>
      </c>
      <c r="AW35" s="95">
        <f t="shared" si="28"/>
        <v>94.16693329572243</v>
      </c>
    </row>
    <row r="36" spans="17:49" x14ac:dyDescent="0.25">
      <c r="Q36" s="32">
        <v>29</v>
      </c>
      <c r="R36" s="94">
        <f t="shared" si="0"/>
        <v>45</v>
      </c>
      <c r="S36" s="92">
        <f t="shared" si="1"/>
        <v>2.1266666666666665</v>
      </c>
      <c r="T36" s="92">
        <f t="shared" si="2"/>
        <v>14.4</v>
      </c>
      <c r="U36" s="95">
        <f t="shared" si="3"/>
        <v>6.6458333333333321</v>
      </c>
      <c r="V36" s="94">
        <f>IF(Variable_Management!$B$23=3,2,IF((S36*R36/T36)&lt;((T36*(1-(T36/R36)))/(2*Lm*Fsw)),1,2))</f>
        <v>2</v>
      </c>
      <c r="W36" s="92">
        <f t="shared" si="13"/>
        <v>0.67999999999999994</v>
      </c>
      <c r="X36" s="95">
        <f t="shared" si="4"/>
        <v>0.32000000000000006</v>
      </c>
      <c r="Y36" s="94">
        <f t="shared" si="5"/>
        <v>7.4181818181818189</v>
      </c>
      <c r="Z36" s="92">
        <f t="shared" si="30"/>
        <v>10.354924242424241</v>
      </c>
      <c r="AA36" s="92">
        <f t="shared" si="31"/>
        <v>6.9823266765750347</v>
      </c>
      <c r="AB36" s="92">
        <v>0</v>
      </c>
      <c r="AC36" s="92">
        <f t="shared" si="6"/>
        <v>0.29251731491046823</v>
      </c>
      <c r="AD36" s="95">
        <f t="shared" si="16"/>
        <v>0.29251731491046823</v>
      </c>
      <c r="AE36" s="94">
        <f t="shared" si="29"/>
        <v>4.5191666666666652</v>
      </c>
      <c r="AF36" s="92">
        <f t="shared" si="17"/>
        <v>5.7577740800173567</v>
      </c>
      <c r="AG36" s="92">
        <f t="shared" si="7"/>
        <v>0.23206373649563802</v>
      </c>
      <c r="AH36" s="92">
        <f t="shared" si="18"/>
        <v>2.0839704241071422</v>
      </c>
      <c r="AI36" s="95">
        <f t="shared" si="19"/>
        <v>2.3160341606027801</v>
      </c>
      <c r="AJ36" s="94">
        <f t="shared" si="20"/>
        <v>2.1266666666666665</v>
      </c>
      <c r="AK36" s="92">
        <f t="shared" si="21"/>
        <v>3.9498004331727494</v>
      </c>
      <c r="AL36" s="92">
        <f t="shared" si="8"/>
        <v>0.10920646423324148</v>
      </c>
      <c r="AM36" s="92">
        <f t="shared" si="22"/>
        <v>0.34846000000000005</v>
      </c>
      <c r="AN36" s="211">
        <f t="shared" si="23"/>
        <v>0.1760337121212121</v>
      </c>
      <c r="AO36" s="95">
        <f t="shared" si="24"/>
        <v>0.63370017635445364</v>
      </c>
      <c r="AP36" s="94">
        <f t="shared" si="25"/>
        <v>7.3129328727617057E-2</v>
      </c>
      <c r="AQ36" s="230">
        <f t="shared" si="9"/>
        <v>0.29251731491046823</v>
      </c>
      <c r="AR36" s="230">
        <f t="shared" si="10"/>
        <v>2.2167935757072685</v>
      </c>
      <c r="AS36" s="92">
        <f t="shared" si="11"/>
        <v>3.6000000000000004E-2</v>
      </c>
      <c r="AT36" s="95">
        <f t="shared" si="12"/>
        <v>4.7519999999999999E-5</v>
      </c>
      <c r="AU36" s="94">
        <f t="shared" si="26"/>
        <v>5.8607393912130554</v>
      </c>
      <c r="AV36" s="92">
        <f t="shared" si="27"/>
        <v>95.699999999999989</v>
      </c>
      <c r="AW36" s="95">
        <f t="shared" si="28"/>
        <v>94.229325794254578</v>
      </c>
    </row>
    <row r="37" spans="17:49" x14ac:dyDescent="0.25">
      <c r="Q37" s="32">
        <v>30</v>
      </c>
      <c r="R37" s="94">
        <f t="shared" si="0"/>
        <v>45</v>
      </c>
      <c r="S37" s="92">
        <f t="shared" si="1"/>
        <v>2.2000000000000002</v>
      </c>
      <c r="T37" s="92">
        <f t="shared" si="2"/>
        <v>14.4</v>
      </c>
      <c r="U37" s="95">
        <f t="shared" si="3"/>
        <v>6.8750000000000009</v>
      </c>
      <c r="V37" s="94">
        <f>IF(Variable_Management!$B$23=3,2,IF((S37*R37/T37)&lt;((T37*(1-(T37/R37)))/(2*Lm*Fsw)),1,2))</f>
        <v>2</v>
      </c>
      <c r="W37" s="92">
        <f t="shared" si="13"/>
        <v>0.67999999999999994</v>
      </c>
      <c r="X37" s="95">
        <f t="shared" si="4"/>
        <v>0.32000000000000006</v>
      </c>
      <c r="Y37" s="94">
        <f t="shared" si="5"/>
        <v>7.4181818181818189</v>
      </c>
      <c r="Z37" s="92">
        <f t="shared" si="30"/>
        <v>10.584090909090911</v>
      </c>
      <c r="AA37" s="92">
        <f t="shared" si="31"/>
        <v>7.2007923261240467</v>
      </c>
      <c r="AB37" s="92">
        <v>0</v>
      </c>
      <c r="AC37" s="92">
        <f t="shared" si="6"/>
        <v>0.31110846074380177</v>
      </c>
      <c r="AD37" s="95">
        <f t="shared" si="16"/>
        <v>0.31110846074380177</v>
      </c>
      <c r="AE37" s="94">
        <f t="shared" si="29"/>
        <v>4.6749999999999998</v>
      </c>
      <c r="AF37" s="92">
        <f t="shared" si="17"/>
        <v>5.9379254697493078</v>
      </c>
      <c r="AG37" s="92">
        <f t="shared" si="7"/>
        <v>0.24681271219008274</v>
      </c>
      <c r="AH37" s="92">
        <f t="shared" si="18"/>
        <v>2.155831473214286</v>
      </c>
      <c r="AI37" s="95">
        <f t="shared" si="19"/>
        <v>2.4026441854043687</v>
      </c>
      <c r="AJ37" s="94">
        <f t="shared" si="20"/>
        <v>2.2000000000000006</v>
      </c>
      <c r="AK37" s="92">
        <f t="shared" si="21"/>
        <v>4.0733832669746945</v>
      </c>
      <c r="AL37" s="92">
        <f t="shared" si="8"/>
        <v>0.11614715867768606</v>
      </c>
      <c r="AM37" s="92">
        <f t="shared" si="22"/>
        <v>0.34846000000000005</v>
      </c>
      <c r="AN37" s="211">
        <f t="shared" si="23"/>
        <v>0.17992954545454551</v>
      </c>
      <c r="AO37" s="95">
        <f t="shared" si="24"/>
        <v>0.64453670413223163</v>
      </c>
      <c r="AP37" s="94">
        <f t="shared" si="25"/>
        <v>7.7777115185950443E-2</v>
      </c>
      <c r="AQ37" s="230">
        <f t="shared" si="9"/>
        <v>0.31110846074380177</v>
      </c>
      <c r="AR37" s="230">
        <f t="shared" si="10"/>
        <v>2.2167935757072685</v>
      </c>
      <c r="AS37" s="92">
        <f t="shared" si="11"/>
        <v>3.6000000000000004E-2</v>
      </c>
      <c r="AT37" s="95">
        <f t="shared" si="12"/>
        <v>4.7519999999999999E-5</v>
      </c>
      <c r="AU37" s="94">
        <f t="shared" si="26"/>
        <v>6.000016021917423</v>
      </c>
      <c r="AV37" s="92">
        <f t="shared" si="27"/>
        <v>99.000000000000014</v>
      </c>
      <c r="AW37" s="95">
        <f t="shared" si="28"/>
        <v>94.285699898688605</v>
      </c>
    </row>
    <row r="38" spans="17:49" x14ac:dyDescent="0.25">
      <c r="Q38" s="32">
        <v>31</v>
      </c>
      <c r="R38" s="94">
        <f t="shared" si="0"/>
        <v>45</v>
      </c>
      <c r="S38" s="92">
        <f t="shared" si="1"/>
        <v>2.2733333333333334</v>
      </c>
      <c r="T38" s="92">
        <f t="shared" si="2"/>
        <v>14.4</v>
      </c>
      <c r="U38" s="95">
        <f t="shared" si="3"/>
        <v>7.104166666666667</v>
      </c>
      <c r="V38" s="94">
        <f>IF(Variable_Management!$B$23=3,2,IF((S38*R38/T38)&lt;((T38*(1-(T38/R38)))/(2*Lm*Fsw)),1,2))</f>
        <v>2</v>
      </c>
      <c r="W38" s="92">
        <f t="shared" si="13"/>
        <v>0.67999999999999994</v>
      </c>
      <c r="X38" s="95">
        <f t="shared" si="4"/>
        <v>0.32000000000000006</v>
      </c>
      <c r="Y38" s="94">
        <f t="shared" si="5"/>
        <v>7.4181818181818189</v>
      </c>
      <c r="Z38" s="92">
        <f t="shared" si="30"/>
        <v>10.813257575757577</v>
      </c>
      <c r="AA38" s="92">
        <f t="shared" si="31"/>
        <v>7.4199035810275005</v>
      </c>
      <c r="AB38" s="92">
        <v>0</v>
      </c>
      <c r="AC38" s="92">
        <f t="shared" si="6"/>
        <v>0.33032981491046837</v>
      </c>
      <c r="AD38" s="95">
        <f t="shared" si="16"/>
        <v>0.33032981491046837</v>
      </c>
      <c r="AE38" s="94">
        <f t="shared" si="29"/>
        <v>4.8308333333333335</v>
      </c>
      <c r="AF38" s="92">
        <f t="shared" si="17"/>
        <v>6.1186092392950222</v>
      </c>
      <c r="AG38" s="92">
        <f t="shared" si="7"/>
        <v>0.2620616531623049</v>
      </c>
      <c r="AH38" s="92">
        <f t="shared" si="18"/>
        <v>2.2276925223214286</v>
      </c>
      <c r="AI38" s="95">
        <f t="shared" si="19"/>
        <v>2.4897541754837333</v>
      </c>
      <c r="AJ38" s="94">
        <f t="shared" si="20"/>
        <v>2.2733333333333339</v>
      </c>
      <c r="AK38" s="92">
        <f t="shared" si="21"/>
        <v>4.1973313103159153</v>
      </c>
      <c r="AL38" s="92">
        <f t="shared" si="8"/>
        <v>0.12332313089990823</v>
      </c>
      <c r="AM38" s="92">
        <f t="shared" si="22"/>
        <v>0.34846000000000005</v>
      </c>
      <c r="AN38" s="211">
        <f t="shared" si="23"/>
        <v>0.18382537878787883</v>
      </c>
      <c r="AO38" s="95">
        <f t="shared" si="24"/>
        <v>0.65560850968778717</v>
      </c>
      <c r="AP38" s="94">
        <f t="shared" si="25"/>
        <v>8.2582453727617092E-2</v>
      </c>
      <c r="AQ38" s="230">
        <f t="shared" si="9"/>
        <v>0.33032981491046837</v>
      </c>
      <c r="AR38" s="230">
        <f t="shared" si="10"/>
        <v>2.2167935757072685</v>
      </c>
      <c r="AS38" s="92">
        <f t="shared" si="11"/>
        <v>3.6000000000000004E-2</v>
      </c>
      <c r="AT38" s="95">
        <f t="shared" si="12"/>
        <v>4.7519999999999999E-5</v>
      </c>
      <c r="AU38" s="94">
        <f t="shared" si="26"/>
        <v>6.1414458644273431</v>
      </c>
      <c r="AV38" s="92">
        <f t="shared" si="27"/>
        <v>102.30000000000001</v>
      </c>
      <c r="AW38" s="95">
        <f t="shared" si="28"/>
        <v>94.336624880393671</v>
      </c>
    </row>
    <row r="39" spans="17:49" x14ac:dyDescent="0.25">
      <c r="Q39" s="32">
        <v>32</v>
      </c>
      <c r="R39" s="94">
        <f t="shared" si="0"/>
        <v>45</v>
      </c>
      <c r="S39" s="92">
        <f t="shared" ref="S39:S70" si="32">Q39*$O$12</f>
        <v>2.3466666666666667</v>
      </c>
      <c r="T39" s="92">
        <f t="shared" si="2"/>
        <v>14.4</v>
      </c>
      <c r="U39" s="95">
        <f t="shared" ref="U39:U70" si="33">(R39*S39)/(T39*EFF_est)</f>
        <v>7.333333333333333</v>
      </c>
      <c r="V39" s="94">
        <f>IF(Variable_Management!$B$23=3,2,IF((S39*R39/T39)&lt;((T39*(1-(T39/R39)))/(2*Lm*Fsw)),1,2))</f>
        <v>2</v>
      </c>
      <c r="W39" s="92">
        <f t="shared" ref="W39:W70" si="34">CHOOSE(V39,SQRT((2*S39*Lm*Fsw*(R39-T39))/((T39)^2)),1-(T39/R39))</f>
        <v>0.67999999999999994</v>
      </c>
      <c r="X39" s="95">
        <f t="shared" ref="X39:X70" si="35">CHOOSE(V39,(Lm*Z39*Fsw)/(R39-T39),1-W39)</f>
        <v>0.32000000000000006</v>
      </c>
      <c r="Y39" s="94">
        <f t="shared" ref="Y39:Y70" si="36">(T39*W39)/(Lm*Fsw)</f>
        <v>7.4181818181818189</v>
      </c>
      <c r="Z39" s="92">
        <f t="shared" si="30"/>
        <v>11.042424242424243</v>
      </c>
      <c r="AA39" s="92">
        <f t="shared" si="31"/>
        <v>7.6396048917299852</v>
      </c>
      <c r="AB39" s="92">
        <v>0</v>
      </c>
      <c r="AC39" s="92">
        <f t="shared" ref="AC39:AC70" si="37">(AA39^2)*Rdcr</f>
        <v>0.35018137741046834</v>
      </c>
      <c r="AD39" s="95">
        <f t="shared" si="16"/>
        <v>0.35018137741046834</v>
      </c>
      <c r="AE39" s="94">
        <f t="shared" si="29"/>
        <v>4.9866666666666664</v>
      </c>
      <c r="AF39" s="92">
        <f t="shared" si="17"/>
        <v>6.2997795813176207</v>
      </c>
      <c r="AG39" s="92">
        <f t="shared" ref="AG39:AG70" si="38">(AF39^2)*RDS_on</f>
        <v>0.27781055941230492</v>
      </c>
      <c r="AH39" s="92">
        <f t="shared" ref="AH39:AH70" si="39">((R39*U39)/2)*Fsw*(tr_sw+tf_sw)</f>
        <v>2.2995535714285715</v>
      </c>
      <c r="AI39" s="95">
        <f t="shared" si="19"/>
        <v>2.5773641308408766</v>
      </c>
      <c r="AJ39" s="94">
        <f t="shared" si="20"/>
        <v>2.3466666666666671</v>
      </c>
      <c r="AK39" s="92">
        <f t="shared" ref="AK39:AK70" si="40">CHOOSE(V39,Z39*SQRT(X39/3),SQRT(X39*((Z39^2)+((Y39^2)/3)-(Y39*Z39))))</f>
        <v>4.3216131396225546</v>
      </c>
      <c r="AL39" s="92">
        <f t="shared" ref="AL39:AL70" si="41">(AK39^2)*RDS_on_HS</f>
        <v>0.13073438089990819</v>
      </c>
      <c r="AM39" s="92">
        <f t="shared" si="22"/>
        <v>0.34846000000000005</v>
      </c>
      <c r="AN39" s="211">
        <f t="shared" ref="AN39:AN70" si="42">Vd_rect*t_dead*Fsw*Z39</f>
        <v>0.18772121212121215</v>
      </c>
      <c r="AO39" s="95">
        <f t="shared" si="24"/>
        <v>0.66691559302112036</v>
      </c>
      <c r="AP39" s="94">
        <f t="shared" ref="AP39:AP70" si="43">(AA39^2)*R_cs</f>
        <v>8.7545344352617085E-2</v>
      </c>
      <c r="AQ39" s="230">
        <f t="shared" ref="AQ39:AQ70" si="44">Rdcr*AA39^2</f>
        <v>0.35018137741046834</v>
      </c>
      <c r="AR39" s="230">
        <f t="shared" ref="AR39:AR70" si="45">ABS(7.759*10^-3*Fsw^0.9458*(0.00787*Y39)^2.304)</f>
        <v>2.2167935757072685</v>
      </c>
      <c r="AS39" s="92">
        <f t="shared" ref="AS39:AS70" si="46">(Qg_tot+Qg_tot_HS)*Vcc*Fsw</f>
        <v>3.6000000000000004E-2</v>
      </c>
      <c r="AT39" s="95">
        <f t="shared" ref="AT39:AT70" si="47">IQ*T39</f>
        <v>4.7519999999999999E-5</v>
      </c>
      <c r="AU39" s="94">
        <f t="shared" si="26"/>
        <v>6.2850289187428192</v>
      </c>
      <c r="AV39" s="92">
        <f t="shared" si="27"/>
        <v>105.6</v>
      </c>
      <c r="AW39" s="95">
        <f t="shared" si="28"/>
        <v>94.382600621833532</v>
      </c>
    </row>
    <row r="40" spans="17:49" x14ac:dyDescent="0.25">
      <c r="Q40" s="32">
        <v>33</v>
      </c>
      <c r="R40" s="94">
        <f t="shared" si="0"/>
        <v>45</v>
      </c>
      <c r="S40" s="92">
        <f t="shared" si="32"/>
        <v>2.42</v>
      </c>
      <c r="T40" s="92">
        <f t="shared" si="2"/>
        <v>14.4</v>
      </c>
      <c r="U40" s="95">
        <f t="shared" si="33"/>
        <v>7.5624999999999991</v>
      </c>
      <c r="V40" s="94">
        <f>IF(Variable_Management!$B$23=3,2,IF((S40*R40/T40)&lt;((T40*(1-(T40/R40)))/(2*Lm*Fsw)),1,2))</f>
        <v>2</v>
      </c>
      <c r="W40" s="92">
        <f t="shared" si="34"/>
        <v>0.67999999999999994</v>
      </c>
      <c r="X40" s="95">
        <f t="shared" si="35"/>
        <v>0.32000000000000006</v>
      </c>
      <c r="Y40" s="94">
        <f t="shared" si="36"/>
        <v>7.4181818181818189</v>
      </c>
      <c r="Z40" s="92">
        <f t="shared" si="30"/>
        <v>11.271590909090909</v>
      </c>
      <c r="AA40" s="92">
        <f t="shared" si="31"/>
        <v>7.8598467780209891</v>
      </c>
      <c r="AB40" s="92">
        <v>0</v>
      </c>
      <c r="AC40" s="92">
        <f t="shared" si="37"/>
        <v>0.37066314824380153</v>
      </c>
      <c r="AD40" s="95">
        <f t="shared" si="16"/>
        <v>0.37066314824380153</v>
      </c>
      <c r="AE40" s="94">
        <f t="shared" si="29"/>
        <v>5.1424999999999992</v>
      </c>
      <c r="AF40" s="92">
        <f t="shared" si="17"/>
        <v>6.4813956933902377</v>
      </c>
      <c r="AG40" s="92">
        <f t="shared" si="38"/>
        <v>0.29405943094008263</v>
      </c>
      <c r="AH40" s="92">
        <f t="shared" si="39"/>
        <v>2.3714146205357136</v>
      </c>
      <c r="AI40" s="95">
        <f t="shared" si="19"/>
        <v>2.6654740514757962</v>
      </c>
      <c r="AJ40" s="94">
        <f t="shared" si="20"/>
        <v>2.4200000000000004</v>
      </c>
      <c r="AK40" s="92">
        <f t="shared" si="40"/>
        <v>4.4462007646607038</v>
      </c>
      <c r="AL40" s="92">
        <f t="shared" si="41"/>
        <v>0.13838090867768599</v>
      </c>
      <c r="AM40" s="92">
        <f t="shared" ref="AM40:AM71" si="48">CHOOSE(V40,(R40+Vd_rect)*Qrr*Fsw,(R40+Vd_rect)*Qrr*Fsw)</f>
        <v>0.34846000000000005</v>
      </c>
      <c r="AN40" s="211">
        <f t="shared" si="42"/>
        <v>0.19161704545454547</v>
      </c>
      <c r="AO40" s="95">
        <f t="shared" si="24"/>
        <v>0.67845795413223153</v>
      </c>
      <c r="AP40" s="94">
        <f t="shared" si="43"/>
        <v>9.2665787060950383E-2</v>
      </c>
      <c r="AQ40" s="230">
        <f t="shared" si="44"/>
        <v>0.37066314824380153</v>
      </c>
      <c r="AR40" s="230">
        <f t="shared" si="45"/>
        <v>2.2167935757072685</v>
      </c>
      <c r="AS40" s="92">
        <f t="shared" si="46"/>
        <v>3.6000000000000004E-2</v>
      </c>
      <c r="AT40" s="95">
        <f t="shared" si="47"/>
        <v>4.7519999999999999E-5</v>
      </c>
      <c r="AU40" s="94">
        <f t="shared" si="26"/>
        <v>6.4307651848638496</v>
      </c>
      <c r="AV40" s="92">
        <f t="shared" si="27"/>
        <v>108.89999999999999</v>
      </c>
      <c r="AW40" s="95">
        <f t="shared" si="28"/>
        <v>94.424067875942768</v>
      </c>
    </row>
    <row r="41" spans="17:49" x14ac:dyDescent="0.25">
      <c r="Q41" s="32">
        <v>34</v>
      </c>
      <c r="R41" s="94">
        <f t="shared" si="0"/>
        <v>45</v>
      </c>
      <c r="S41" s="92">
        <f t="shared" si="32"/>
        <v>2.4933333333333332</v>
      </c>
      <c r="T41" s="92">
        <f t="shared" si="2"/>
        <v>14.4</v>
      </c>
      <c r="U41" s="95">
        <f t="shared" si="33"/>
        <v>7.7916666666666661</v>
      </c>
      <c r="V41" s="94">
        <f>IF(Variable_Management!$B$23=3,2,IF((S41*R41/T41)&lt;((T41*(1-(T41/R41)))/(2*Lm*Fsw)),1,2))</f>
        <v>2</v>
      </c>
      <c r="W41" s="92">
        <f t="shared" si="34"/>
        <v>0.67999999999999994</v>
      </c>
      <c r="X41" s="95">
        <f t="shared" si="35"/>
        <v>0.32000000000000006</v>
      </c>
      <c r="Y41" s="94">
        <f t="shared" si="36"/>
        <v>7.4181818181818189</v>
      </c>
      <c r="Z41" s="92">
        <f t="shared" si="30"/>
        <v>11.500757575757575</v>
      </c>
      <c r="AA41" s="92">
        <f t="shared" si="31"/>
        <v>8.0805850387463529</v>
      </c>
      <c r="AB41" s="92">
        <v>0</v>
      </c>
      <c r="AC41" s="92">
        <f t="shared" si="37"/>
        <v>0.39177512741046838</v>
      </c>
      <c r="AD41" s="95">
        <f t="shared" si="16"/>
        <v>0.39177512741046838</v>
      </c>
      <c r="AE41" s="94">
        <f t="shared" si="29"/>
        <v>5.298333333333332</v>
      </c>
      <c r="AF41" s="92">
        <f t="shared" si="17"/>
        <v>6.6634211263073961</v>
      </c>
      <c r="AG41" s="92">
        <f t="shared" si="38"/>
        <v>0.31080826774563813</v>
      </c>
      <c r="AH41" s="92">
        <f t="shared" si="39"/>
        <v>2.443275669642857</v>
      </c>
      <c r="AI41" s="95">
        <f t="shared" si="19"/>
        <v>2.7540839373884953</v>
      </c>
      <c r="AJ41" s="94">
        <f t="shared" si="20"/>
        <v>2.4933333333333336</v>
      </c>
      <c r="AK41" s="92">
        <f t="shared" si="40"/>
        <v>4.5710691814816853</v>
      </c>
      <c r="AL41" s="92">
        <f t="shared" si="41"/>
        <v>0.14626271423324153</v>
      </c>
      <c r="AM41" s="92">
        <f t="shared" si="48"/>
        <v>0.34846000000000005</v>
      </c>
      <c r="AN41" s="211">
        <f t="shared" si="42"/>
        <v>0.19551287878787879</v>
      </c>
      <c r="AO41" s="95">
        <f t="shared" si="24"/>
        <v>0.69023559302112036</v>
      </c>
      <c r="AP41" s="94">
        <f t="shared" si="43"/>
        <v>9.7943781852617096E-2</v>
      </c>
      <c r="AQ41" s="230">
        <f t="shared" si="44"/>
        <v>0.39177512741046838</v>
      </c>
      <c r="AR41" s="230">
        <f t="shared" si="45"/>
        <v>2.2167935757072685</v>
      </c>
      <c r="AS41" s="92">
        <f t="shared" si="46"/>
        <v>3.6000000000000004E-2</v>
      </c>
      <c r="AT41" s="95">
        <f t="shared" si="47"/>
        <v>4.7519999999999999E-5</v>
      </c>
      <c r="AU41" s="94">
        <f t="shared" si="26"/>
        <v>6.5786546627904379</v>
      </c>
      <c r="AV41" s="92">
        <f t="shared" si="27"/>
        <v>112.19999999999999</v>
      </c>
      <c r="AW41" s="95">
        <f t="shared" si="28"/>
        <v>94.4614167575251</v>
      </c>
    </row>
    <row r="42" spans="17:49" x14ac:dyDescent="0.25">
      <c r="Q42" s="32">
        <v>35</v>
      </c>
      <c r="R42" s="94">
        <f t="shared" si="0"/>
        <v>45</v>
      </c>
      <c r="S42" s="92">
        <f t="shared" si="32"/>
        <v>2.5666666666666669</v>
      </c>
      <c r="T42" s="92">
        <f t="shared" si="2"/>
        <v>14.4</v>
      </c>
      <c r="U42" s="95">
        <f t="shared" si="33"/>
        <v>8.0208333333333339</v>
      </c>
      <c r="V42" s="94">
        <f>IF(Variable_Management!$B$23=3,2,IF((S42*R42/T42)&lt;((T42*(1-(T42/R42)))/(2*Lm*Fsw)),1,2))</f>
        <v>2</v>
      </c>
      <c r="W42" s="92">
        <f t="shared" si="34"/>
        <v>0.67999999999999994</v>
      </c>
      <c r="X42" s="95">
        <f t="shared" si="35"/>
        <v>0.32000000000000006</v>
      </c>
      <c r="Y42" s="94">
        <f t="shared" si="36"/>
        <v>7.4181818181818189</v>
      </c>
      <c r="Z42" s="92">
        <f t="shared" si="30"/>
        <v>11.729924242424243</v>
      </c>
      <c r="AA42" s="92">
        <f t="shared" si="31"/>
        <v>8.3017800793009489</v>
      </c>
      <c r="AB42" s="92">
        <v>0</v>
      </c>
      <c r="AC42" s="92">
        <f t="shared" si="37"/>
        <v>0.41351731491046845</v>
      </c>
      <c r="AD42" s="95">
        <f t="shared" si="16"/>
        <v>0.41351731491046845</v>
      </c>
      <c r="AE42" s="94">
        <f t="shared" si="29"/>
        <v>5.4541666666666666</v>
      </c>
      <c r="AF42" s="92">
        <f t="shared" si="17"/>
        <v>6.8458232295212733</v>
      </c>
      <c r="AG42" s="92">
        <f t="shared" si="38"/>
        <v>0.32805706982897154</v>
      </c>
      <c r="AH42" s="92">
        <f t="shared" si="39"/>
        <v>2.51513671875</v>
      </c>
      <c r="AI42" s="95">
        <f t="shared" si="19"/>
        <v>2.8431937885789713</v>
      </c>
      <c r="AJ42" s="94">
        <f t="shared" si="20"/>
        <v>2.5666666666666673</v>
      </c>
      <c r="AK42" s="92">
        <f t="shared" si="40"/>
        <v>4.6961959919944762</v>
      </c>
      <c r="AL42" s="92">
        <f t="shared" si="41"/>
        <v>0.15437979756657488</v>
      </c>
      <c r="AM42" s="92">
        <f t="shared" si="48"/>
        <v>0.34846000000000005</v>
      </c>
      <c r="AN42" s="211">
        <f t="shared" si="42"/>
        <v>0.19940871212121214</v>
      </c>
      <c r="AO42" s="95">
        <f t="shared" si="24"/>
        <v>0.70224850968778707</v>
      </c>
      <c r="AP42" s="94">
        <f t="shared" si="43"/>
        <v>0.10337932872761711</v>
      </c>
      <c r="AQ42" s="230">
        <f t="shared" si="44"/>
        <v>0.41351731491046845</v>
      </c>
      <c r="AR42" s="230">
        <f t="shared" si="45"/>
        <v>2.2167935757072685</v>
      </c>
      <c r="AS42" s="92">
        <f t="shared" si="46"/>
        <v>3.6000000000000004E-2</v>
      </c>
      <c r="AT42" s="95">
        <f t="shared" si="47"/>
        <v>4.7519999999999999E-5</v>
      </c>
      <c r="AU42" s="94">
        <f t="shared" si="26"/>
        <v>6.7286973525225795</v>
      </c>
      <c r="AV42" s="92">
        <f t="shared" si="27"/>
        <v>115.50000000000001</v>
      </c>
      <c r="AW42" s="95">
        <f t="shared" si="28"/>
        <v>94.494993812200917</v>
      </c>
    </row>
    <row r="43" spans="17:49" x14ac:dyDescent="0.25">
      <c r="Q43" s="32">
        <v>36</v>
      </c>
      <c r="R43" s="94">
        <f t="shared" si="0"/>
        <v>45</v>
      </c>
      <c r="S43" s="92">
        <f t="shared" si="32"/>
        <v>2.64</v>
      </c>
      <c r="T43" s="92">
        <f t="shared" si="2"/>
        <v>14.4</v>
      </c>
      <c r="U43" s="95">
        <f t="shared" si="33"/>
        <v>8.25</v>
      </c>
      <c r="V43" s="94">
        <f>IF(Variable_Management!$B$23=3,2,IF((S43*R43/T43)&lt;((T43*(1-(T43/R43)))/(2*Lm*Fsw)),1,2))</f>
        <v>2</v>
      </c>
      <c r="W43" s="92">
        <f t="shared" si="34"/>
        <v>0.67999999999999994</v>
      </c>
      <c r="X43" s="95">
        <f t="shared" si="35"/>
        <v>0.32000000000000006</v>
      </c>
      <c r="Y43" s="94">
        <f t="shared" si="36"/>
        <v>7.4181818181818189</v>
      </c>
      <c r="Z43" s="92">
        <f t="shared" si="30"/>
        <v>11.959090909090909</v>
      </c>
      <c r="AA43" s="92">
        <f t="shared" si="31"/>
        <v>8.5233963373743773</v>
      </c>
      <c r="AB43" s="92">
        <v>0</v>
      </c>
      <c r="AC43" s="92">
        <f t="shared" si="37"/>
        <v>0.43588971074380167</v>
      </c>
      <c r="AD43" s="95">
        <f t="shared" si="16"/>
        <v>0.43588971074380167</v>
      </c>
      <c r="AE43" s="94">
        <f t="shared" si="29"/>
        <v>5.6099999999999994</v>
      </c>
      <c r="AF43" s="92">
        <f t="shared" si="17"/>
        <v>7.0285726775994508</v>
      </c>
      <c r="AG43" s="92">
        <f t="shared" si="38"/>
        <v>0.34580583719008257</v>
      </c>
      <c r="AH43" s="92">
        <f t="shared" si="39"/>
        <v>2.586997767857143</v>
      </c>
      <c r="AI43" s="95">
        <f t="shared" si="19"/>
        <v>2.9328036050472255</v>
      </c>
      <c r="AJ43" s="94">
        <f t="shared" si="20"/>
        <v>2.6400000000000006</v>
      </c>
      <c r="AK43" s="92">
        <f t="shared" si="40"/>
        <v>4.8215610791184043</v>
      </c>
      <c r="AL43" s="92">
        <f t="shared" si="41"/>
        <v>0.16273215867768601</v>
      </c>
      <c r="AM43" s="92">
        <f t="shared" si="48"/>
        <v>0.34846000000000005</v>
      </c>
      <c r="AN43" s="211">
        <f t="shared" si="42"/>
        <v>0.20330454545454546</v>
      </c>
      <c r="AO43" s="95">
        <f t="shared" si="24"/>
        <v>0.71449670413223154</v>
      </c>
      <c r="AP43" s="94">
        <f t="shared" si="43"/>
        <v>0.10897242768595042</v>
      </c>
      <c r="AQ43" s="230">
        <f t="shared" si="44"/>
        <v>0.43588971074380167</v>
      </c>
      <c r="AR43" s="230">
        <f t="shared" si="45"/>
        <v>2.2167935757072685</v>
      </c>
      <c r="AS43" s="92">
        <f t="shared" si="46"/>
        <v>3.6000000000000004E-2</v>
      </c>
      <c r="AT43" s="95">
        <f t="shared" si="47"/>
        <v>4.7519999999999999E-5</v>
      </c>
      <c r="AU43" s="94">
        <f t="shared" si="26"/>
        <v>6.880893254060279</v>
      </c>
      <c r="AV43" s="92">
        <f t="shared" si="27"/>
        <v>118.80000000000001</v>
      </c>
      <c r="AW43" s="95">
        <f t="shared" si="28"/>
        <v>94.525107933350895</v>
      </c>
    </row>
    <row r="44" spans="17:49" x14ac:dyDescent="0.25">
      <c r="Q44" s="32">
        <v>37</v>
      </c>
      <c r="R44" s="94">
        <f t="shared" si="0"/>
        <v>45</v>
      </c>
      <c r="S44" s="92">
        <f t="shared" si="32"/>
        <v>2.7133333333333334</v>
      </c>
      <c r="T44" s="92">
        <f t="shared" si="2"/>
        <v>14.4</v>
      </c>
      <c r="U44" s="95">
        <f t="shared" si="33"/>
        <v>8.4791666666666679</v>
      </c>
      <c r="V44" s="94">
        <f>IF(Variable_Management!$B$23=3,2,IF((S44*R44/T44)&lt;((T44*(1-(T44/R44)))/(2*Lm*Fsw)),1,2))</f>
        <v>2</v>
      </c>
      <c r="W44" s="92">
        <f t="shared" si="34"/>
        <v>0.67999999999999994</v>
      </c>
      <c r="X44" s="95">
        <f t="shared" si="35"/>
        <v>0.32000000000000006</v>
      </c>
      <c r="Y44" s="94">
        <f t="shared" si="36"/>
        <v>7.4181818181818189</v>
      </c>
      <c r="Z44" s="92">
        <f t="shared" si="30"/>
        <v>12.188257575757577</v>
      </c>
      <c r="AA44" s="92">
        <f t="shared" si="31"/>
        <v>8.7454017909458042</v>
      </c>
      <c r="AB44" s="92">
        <v>0</v>
      </c>
      <c r="AC44" s="92">
        <f t="shared" si="37"/>
        <v>0.4588923149104685</v>
      </c>
      <c r="AD44" s="95">
        <f t="shared" si="16"/>
        <v>0.4588923149104685</v>
      </c>
      <c r="AE44" s="94">
        <f t="shared" si="29"/>
        <v>5.765833333333334</v>
      </c>
      <c r="AF44" s="92">
        <f t="shared" si="17"/>
        <v>7.211643064507081</v>
      </c>
      <c r="AG44" s="92">
        <f t="shared" si="38"/>
        <v>0.36405456982897161</v>
      </c>
      <c r="AH44" s="92">
        <f t="shared" si="39"/>
        <v>2.6588588169642864</v>
      </c>
      <c r="AI44" s="95">
        <f t="shared" si="19"/>
        <v>3.0229133867932578</v>
      </c>
      <c r="AJ44" s="94">
        <f t="shared" si="20"/>
        <v>2.7133333333333343</v>
      </c>
      <c r="AK44" s="92">
        <f t="shared" si="40"/>
        <v>4.9471463284630044</v>
      </c>
      <c r="AL44" s="92">
        <f t="shared" si="41"/>
        <v>0.17131979756657489</v>
      </c>
      <c r="AM44" s="92">
        <f t="shared" si="48"/>
        <v>0.34846000000000005</v>
      </c>
      <c r="AN44" s="211">
        <f t="shared" si="42"/>
        <v>0.20720037878787881</v>
      </c>
      <c r="AO44" s="95">
        <f t="shared" si="24"/>
        <v>0.72698017635445378</v>
      </c>
      <c r="AP44" s="94">
        <f t="shared" si="43"/>
        <v>0.11472307872761713</v>
      </c>
      <c r="AQ44" s="230">
        <f t="shared" si="44"/>
        <v>0.4588923149104685</v>
      </c>
      <c r="AR44" s="230">
        <f t="shared" si="45"/>
        <v>2.2167935757072685</v>
      </c>
      <c r="AS44" s="92">
        <f t="shared" si="46"/>
        <v>3.6000000000000004E-2</v>
      </c>
      <c r="AT44" s="95">
        <f t="shared" si="47"/>
        <v>4.7519999999999999E-5</v>
      </c>
      <c r="AU44" s="94">
        <f t="shared" si="26"/>
        <v>7.0352423674035345</v>
      </c>
      <c r="AV44" s="92">
        <f t="shared" si="27"/>
        <v>122.10000000000001</v>
      </c>
      <c r="AW44" s="95">
        <f t="shared" si="28"/>
        <v>94.55203534029269</v>
      </c>
    </row>
    <row r="45" spans="17:49" x14ac:dyDescent="0.25">
      <c r="Q45" s="32">
        <v>38</v>
      </c>
      <c r="R45" s="94">
        <f t="shared" si="0"/>
        <v>45</v>
      </c>
      <c r="S45" s="92">
        <f t="shared" si="32"/>
        <v>2.7866666666666666</v>
      </c>
      <c r="T45" s="92">
        <f t="shared" si="2"/>
        <v>14.4</v>
      </c>
      <c r="U45" s="95">
        <f t="shared" si="33"/>
        <v>8.7083333333333321</v>
      </c>
      <c r="V45" s="94">
        <f>IF(Variable_Management!$B$23=3,2,IF((S45*R45/T45)&lt;((T45*(1-(T45/R45)))/(2*Lm*Fsw)),1,2))</f>
        <v>2</v>
      </c>
      <c r="W45" s="92">
        <f t="shared" si="34"/>
        <v>0.67999999999999994</v>
      </c>
      <c r="X45" s="95">
        <f t="shared" si="35"/>
        <v>0.32000000000000006</v>
      </c>
      <c r="Y45" s="94">
        <f t="shared" si="36"/>
        <v>7.4181818181818189</v>
      </c>
      <c r="Z45" s="92">
        <f t="shared" si="30"/>
        <v>12.417424242424241</v>
      </c>
      <c r="AA45" s="92">
        <f t="shared" si="31"/>
        <v>8.967767535368619</v>
      </c>
      <c r="AB45" s="92">
        <v>0</v>
      </c>
      <c r="AC45" s="92">
        <f t="shared" si="37"/>
        <v>0.48252512741046816</v>
      </c>
      <c r="AD45" s="95">
        <f t="shared" si="16"/>
        <v>0.48252512741046816</v>
      </c>
      <c r="AE45" s="94">
        <f t="shared" si="29"/>
        <v>5.9216666666666651</v>
      </c>
      <c r="AF45" s="92">
        <f t="shared" si="17"/>
        <v>7.3950105548619547</v>
      </c>
      <c r="AG45" s="92">
        <f t="shared" si="38"/>
        <v>0.382803267745638</v>
      </c>
      <c r="AH45" s="92">
        <f t="shared" si="39"/>
        <v>2.730719866071428</v>
      </c>
      <c r="AI45" s="95">
        <f t="shared" si="19"/>
        <v>3.1135231338170661</v>
      </c>
      <c r="AJ45" s="94">
        <f t="shared" si="20"/>
        <v>2.7866666666666666</v>
      </c>
      <c r="AK45" s="92">
        <f t="shared" si="40"/>
        <v>5.0729353890909783</v>
      </c>
      <c r="AL45" s="92">
        <f t="shared" si="41"/>
        <v>0.18014271423324144</v>
      </c>
      <c r="AM45" s="92">
        <f t="shared" si="48"/>
        <v>0.34846000000000005</v>
      </c>
      <c r="AN45" s="211">
        <f t="shared" si="42"/>
        <v>0.2110962121212121</v>
      </c>
      <c r="AO45" s="95">
        <f t="shared" si="24"/>
        <v>0.73969892635445356</v>
      </c>
      <c r="AP45" s="94">
        <f t="shared" si="43"/>
        <v>0.12063128185261704</v>
      </c>
      <c r="AQ45" s="230">
        <f t="shared" si="44"/>
        <v>0.48252512741046816</v>
      </c>
      <c r="AR45" s="230">
        <f t="shared" si="45"/>
        <v>2.2167935757072685</v>
      </c>
      <c r="AS45" s="92">
        <f t="shared" si="46"/>
        <v>3.6000000000000004E-2</v>
      </c>
      <c r="AT45" s="95">
        <f t="shared" si="47"/>
        <v>4.7519999999999999E-5</v>
      </c>
      <c r="AU45" s="94">
        <f t="shared" si="26"/>
        <v>7.1917446925523407</v>
      </c>
      <c r="AV45" s="92">
        <f t="shared" si="27"/>
        <v>125.39999999999999</v>
      </c>
      <c r="AW45" s="95">
        <f t="shared" si="28"/>
        <v>94.576023786979917</v>
      </c>
    </row>
    <row r="46" spans="17:49" x14ac:dyDescent="0.25">
      <c r="Q46" s="32">
        <v>39</v>
      </c>
      <c r="R46" s="94">
        <f t="shared" si="0"/>
        <v>45</v>
      </c>
      <c r="S46" s="92">
        <f t="shared" si="32"/>
        <v>2.86</v>
      </c>
      <c r="T46" s="92">
        <f t="shared" si="2"/>
        <v>14.4</v>
      </c>
      <c r="U46" s="95">
        <f t="shared" si="33"/>
        <v>8.9374999999999982</v>
      </c>
      <c r="V46" s="94">
        <f>IF(Variable_Management!$B$23=3,2,IF((S46*R46/T46)&lt;((T46*(1-(T46/R46)))/(2*Lm*Fsw)),1,2))</f>
        <v>2</v>
      </c>
      <c r="W46" s="92">
        <f t="shared" si="34"/>
        <v>0.67999999999999994</v>
      </c>
      <c r="X46" s="95">
        <f t="shared" si="35"/>
        <v>0.32000000000000006</v>
      </c>
      <c r="Y46" s="94">
        <f t="shared" si="36"/>
        <v>7.4181818181818189</v>
      </c>
      <c r="Z46" s="92">
        <f t="shared" si="30"/>
        <v>12.646590909090907</v>
      </c>
      <c r="AA46" s="92">
        <f t="shared" si="31"/>
        <v>9.1904674186880673</v>
      </c>
      <c r="AB46" s="92">
        <v>0</v>
      </c>
      <c r="AC46" s="92">
        <f t="shared" si="37"/>
        <v>0.50678814824380136</v>
      </c>
      <c r="AD46" s="95">
        <f t="shared" si="16"/>
        <v>0.50678814824380136</v>
      </c>
      <c r="AE46" s="94">
        <f t="shared" si="29"/>
        <v>6.0774999999999979</v>
      </c>
      <c r="AF46" s="92">
        <f t="shared" si="17"/>
        <v>7.5786535832097162</v>
      </c>
      <c r="AG46" s="92">
        <f t="shared" si="38"/>
        <v>0.40205193094008229</v>
      </c>
      <c r="AH46" s="92">
        <f t="shared" si="39"/>
        <v>2.802580915178571</v>
      </c>
      <c r="AI46" s="95">
        <f t="shared" si="19"/>
        <v>3.2046328461186535</v>
      </c>
      <c r="AJ46" s="94">
        <f t="shared" si="20"/>
        <v>2.86</v>
      </c>
      <c r="AK46" s="92">
        <f t="shared" si="40"/>
        <v>5.1989134672226855</v>
      </c>
      <c r="AL46" s="92">
        <f t="shared" si="41"/>
        <v>0.18920090867768585</v>
      </c>
      <c r="AM46" s="92">
        <f t="shared" si="48"/>
        <v>0.34846000000000005</v>
      </c>
      <c r="AN46" s="211">
        <f t="shared" si="42"/>
        <v>0.21499204545454545</v>
      </c>
      <c r="AO46" s="95">
        <f t="shared" si="24"/>
        <v>0.75265295413223132</v>
      </c>
      <c r="AP46" s="94">
        <f t="shared" si="43"/>
        <v>0.12669703706095034</v>
      </c>
      <c r="AQ46" s="230">
        <f t="shared" si="44"/>
        <v>0.50678814824380136</v>
      </c>
      <c r="AR46" s="230">
        <f t="shared" si="45"/>
        <v>2.2167935757072685</v>
      </c>
      <c r="AS46" s="92">
        <f t="shared" si="46"/>
        <v>3.6000000000000004E-2</v>
      </c>
      <c r="AT46" s="95">
        <f t="shared" si="47"/>
        <v>4.7519999999999999E-5</v>
      </c>
      <c r="AU46" s="94">
        <f t="shared" si="26"/>
        <v>7.3504002295067057</v>
      </c>
      <c r="AV46" s="92">
        <f t="shared" si="27"/>
        <v>128.69999999999999</v>
      </c>
      <c r="AW46" s="95">
        <f t="shared" si="28"/>
        <v>94.597296136500049</v>
      </c>
    </row>
    <row r="47" spans="17:49" x14ac:dyDescent="0.25">
      <c r="Q47" s="32">
        <v>40</v>
      </c>
      <c r="R47" s="94">
        <f t="shared" si="0"/>
        <v>45</v>
      </c>
      <c r="S47" s="92">
        <f t="shared" si="32"/>
        <v>2.9333333333333336</v>
      </c>
      <c r="T47" s="92">
        <f t="shared" si="2"/>
        <v>14.4</v>
      </c>
      <c r="U47" s="95">
        <f t="shared" si="33"/>
        <v>9.1666666666666661</v>
      </c>
      <c r="V47" s="94">
        <f>IF(Variable_Management!$B$23=3,2,IF((S47*R47/T47)&lt;((T47*(1-(T47/R47)))/(2*Lm*Fsw)),1,2))</f>
        <v>2</v>
      </c>
      <c r="W47" s="92">
        <f t="shared" si="34"/>
        <v>0.67999999999999994</v>
      </c>
      <c r="X47" s="95">
        <f t="shared" si="35"/>
        <v>0.32000000000000006</v>
      </c>
      <c r="Y47" s="94">
        <f t="shared" si="36"/>
        <v>7.4181818181818189</v>
      </c>
      <c r="Z47" s="92">
        <f t="shared" si="30"/>
        <v>12.875757575757575</v>
      </c>
      <c r="AA47" s="92">
        <f t="shared" si="31"/>
        <v>9.413477726204313</v>
      </c>
      <c r="AB47" s="92">
        <v>0</v>
      </c>
      <c r="AC47" s="92">
        <f t="shared" si="37"/>
        <v>0.53168137741046839</v>
      </c>
      <c r="AD47" s="95">
        <f t="shared" si="16"/>
        <v>0.53168137741046839</v>
      </c>
      <c r="AE47" s="94">
        <f t="shared" si="29"/>
        <v>6.2333333333333325</v>
      </c>
      <c r="AF47" s="92">
        <f t="shared" si="17"/>
        <v>7.7625525939079081</v>
      </c>
      <c r="AG47" s="92">
        <f t="shared" si="38"/>
        <v>0.42180055941230477</v>
      </c>
      <c r="AH47" s="92">
        <f t="shared" si="39"/>
        <v>2.8744419642857144</v>
      </c>
      <c r="AI47" s="95">
        <f t="shared" si="19"/>
        <v>3.2962425236980191</v>
      </c>
      <c r="AJ47" s="94">
        <f t="shared" si="20"/>
        <v>2.9333333333333336</v>
      </c>
      <c r="AK47" s="92">
        <f t="shared" si="40"/>
        <v>5.3250671477980731</v>
      </c>
      <c r="AL47" s="92">
        <f t="shared" si="41"/>
        <v>0.19849438089990815</v>
      </c>
      <c r="AM47" s="92">
        <f t="shared" si="48"/>
        <v>0.34846000000000005</v>
      </c>
      <c r="AN47" s="211">
        <f t="shared" si="42"/>
        <v>0.2188878787878788</v>
      </c>
      <c r="AO47" s="95">
        <f t="shared" si="24"/>
        <v>0.76584225968778696</v>
      </c>
      <c r="AP47" s="94">
        <f t="shared" si="43"/>
        <v>0.1329203443526171</v>
      </c>
      <c r="AQ47" s="230">
        <f t="shared" si="44"/>
        <v>0.53168137741046839</v>
      </c>
      <c r="AR47" s="230">
        <f t="shared" si="45"/>
        <v>2.2167935757072685</v>
      </c>
      <c r="AS47" s="92">
        <f t="shared" si="46"/>
        <v>3.6000000000000004E-2</v>
      </c>
      <c r="AT47" s="95">
        <f t="shared" si="47"/>
        <v>4.7519999999999999E-5</v>
      </c>
      <c r="AU47" s="94">
        <f t="shared" si="26"/>
        <v>7.5112089782666276</v>
      </c>
      <c r="AV47" s="92">
        <f t="shared" si="27"/>
        <v>132</v>
      </c>
      <c r="AW47" s="95">
        <f t="shared" si="28"/>
        <v>94.616053410133688</v>
      </c>
    </row>
    <row r="48" spans="17:49" x14ac:dyDescent="0.25">
      <c r="Q48" s="32">
        <v>41</v>
      </c>
      <c r="R48" s="94">
        <f t="shared" si="0"/>
        <v>45</v>
      </c>
      <c r="S48" s="92">
        <f t="shared" si="32"/>
        <v>3.0066666666666668</v>
      </c>
      <c r="T48" s="92">
        <f t="shared" si="2"/>
        <v>14.4</v>
      </c>
      <c r="U48" s="95">
        <f t="shared" si="33"/>
        <v>9.3958333333333339</v>
      </c>
      <c r="V48" s="94">
        <f>IF(Variable_Management!$B$23=3,2,IF((S48*R48/T48)&lt;((T48*(1-(T48/R48)))/(2*Lm*Fsw)),1,2))</f>
        <v>2</v>
      </c>
      <c r="W48" s="92">
        <f t="shared" si="34"/>
        <v>0.67999999999999994</v>
      </c>
      <c r="X48" s="95">
        <f t="shared" si="35"/>
        <v>0.32000000000000006</v>
      </c>
      <c r="Y48" s="94">
        <f t="shared" si="36"/>
        <v>7.4181818181818189</v>
      </c>
      <c r="Z48" s="92">
        <f t="shared" si="30"/>
        <v>13.104924242424243</v>
      </c>
      <c r="AA48" s="92">
        <f t="shared" si="31"/>
        <v>9.6367769068161344</v>
      </c>
      <c r="AB48" s="92">
        <v>0</v>
      </c>
      <c r="AC48" s="92">
        <f t="shared" si="37"/>
        <v>0.55720481491046847</v>
      </c>
      <c r="AD48" s="95">
        <f t="shared" si="16"/>
        <v>0.55720481491046847</v>
      </c>
      <c r="AE48" s="94">
        <f t="shared" si="29"/>
        <v>6.3891666666666662</v>
      </c>
      <c r="AF48" s="92">
        <f t="shared" si="17"/>
        <v>7.9466898154631904</v>
      </c>
      <c r="AG48" s="92">
        <f t="shared" si="38"/>
        <v>0.44204915316230475</v>
      </c>
      <c r="AH48" s="92">
        <f t="shared" si="39"/>
        <v>2.9463030133928569</v>
      </c>
      <c r="AI48" s="95">
        <f t="shared" si="19"/>
        <v>3.3883521665551619</v>
      </c>
      <c r="AJ48" s="94">
        <f t="shared" si="20"/>
        <v>3.0066666666666673</v>
      </c>
      <c r="AK48" s="92">
        <f t="shared" si="40"/>
        <v>5.4513842396732883</v>
      </c>
      <c r="AL48" s="92">
        <f t="shared" si="41"/>
        <v>0.20802313089990823</v>
      </c>
      <c r="AM48" s="92">
        <f t="shared" si="48"/>
        <v>0.34846000000000005</v>
      </c>
      <c r="AN48" s="211">
        <f t="shared" si="42"/>
        <v>0.22278371212121215</v>
      </c>
      <c r="AO48" s="95">
        <f t="shared" si="24"/>
        <v>0.77926684302112048</v>
      </c>
      <c r="AP48" s="94">
        <f t="shared" si="43"/>
        <v>0.13930120372761712</v>
      </c>
      <c r="AQ48" s="230">
        <f t="shared" si="44"/>
        <v>0.55720481491046847</v>
      </c>
      <c r="AR48" s="230">
        <f t="shared" si="45"/>
        <v>2.2167935757072685</v>
      </c>
      <c r="AS48" s="92">
        <f t="shared" si="46"/>
        <v>3.6000000000000004E-2</v>
      </c>
      <c r="AT48" s="95">
        <f t="shared" si="47"/>
        <v>4.7519999999999999E-5</v>
      </c>
      <c r="AU48" s="94">
        <f t="shared" si="26"/>
        <v>7.6741709388321047</v>
      </c>
      <c r="AV48" s="92">
        <f t="shared" si="27"/>
        <v>135.30000000000001</v>
      </c>
      <c r="AW48" s="95">
        <f t="shared" si="28"/>
        <v>94.632477398931513</v>
      </c>
    </row>
    <row r="49" spans="17:49" x14ac:dyDescent="0.25">
      <c r="Q49" s="32">
        <v>42</v>
      </c>
      <c r="R49" s="94">
        <f t="shared" si="0"/>
        <v>45</v>
      </c>
      <c r="S49" s="92">
        <f t="shared" si="32"/>
        <v>3.08</v>
      </c>
      <c r="T49" s="92">
        <f t="shared" si="2"/>
        <v>14.4</v>
      </c>
      <c r="U49" s="95">
        <f t="shared" si="33"/>
        <v>9.625</v>
      </c>
      <c r="V49" s="94">
        <f>IF(Variable_Management!$B$23=3,2,IF((S49*R49/T49)&lt;((T49*(1-(T49/R49)))/(2*Lm*Fsw)),1,2))</f>
        <v>2</v>
      </c>
      <c r="W49" s="92">
        <f t="shared" si="34"/>
        <v>0.67999999999999994</v>
      </c>
      <c r="X49" s="95">
        <f t="shared" si="35"/>
        <v>0.32000000000000006</v>
      </c>
      <c r="Y49" s="94">
        <f t="shared" si="36"/>
        <v>7.4181818181818189</v>
      </c>
      <c r="Z49" s="92">
        <f t="shared" si="30"/>
        <v>13.334090909090909</v>
      </c>
      <c r="AA49" s="92">
        <f t="shared" si="31"/>
        <v>9.8603453349244798</v>
      </c>
      <c r="AB49" s="92">
        <v>0</v>
      </c>
      <c r="AC49" s="92">
        <f t="shared" si="37"/>
        <v>0.58335846074380171</v>
      </c>
      <c r="AD49" s="95">
        <f t="shared" si="16"/>
        <v>0.58335846074380171</v>
      </c>
      <c r="AE49" s="94">
        <f t="shared" si="29"/>
        <v>6.544999999999999</v>
      </c>
      <c r="AF49" s="92">
        <f t="shared" si="17"/>
        <v>8.1310490641919948</v>
      </c>
      <c r="AG49" s="92">
        <f t="shared" si="38"/>
        <v>0.46279771219008264</v>
      </c>
      <c r="AH49" s="92">
        <f t="shared" si="39"/>
        <v>3.0181640624999999</v>
      </c>
      <c r="AI49" s="95">
        <f t="shared" si="19"/>
        <v>3.4809617746900825</v>
      </c>
      <c r="AJ49" s="94">
        <f t="shared" si="20"/>
        <v>3.0800000000000005</v>
      </c>
      <c r="AK49" s="92">
        <f t="shared" si="40"/>
        <v>5.5778536409329904</v>
      </c>
      <c r="AL49" s="92">
        <f t="shared" si="41"/>
        <v>0.21778715867768594</v>
      </c>
      <c r="AM49" s="92">
        <f t="shared" si="48"/>
        <v>0.34846000000000005</v>
      </c>
      <c r="AN49" s="211">
        <f t="shared" si="42"/>
        <v>0.22667954545454547</v>
      </c>
      <c r="AO49" s="95">
        <f t="shared" si="24"/>
        <v>0.79292670413223154</v>
      </c>
      <c r="AP49" s="94">
        <f t="shared" si="43"/>
        <v>0.14583961518595043</v>
      </c>
      <c r="AQ49" s="230">
        <f t="shared" si="44"/>
        <v>0.58335846074380171</v>
      </c>
      <c r="AR49" s="230">
        <f t="shared" si="45"/>
        <v>2.2167935757072685</v>
      </c>
      <c r="AS49" s="92">
        <f t="shared" si="46"/>
        <v>3.6000000000000004E-2</v>
      </c>
      <c r="AT49" s="95">
        <f t="shared" si="47"/>
        <v>4.7519999999999999E-5</v>
      </c>
      <c r="AU49" s="94">
        <f t="shared" si="26"/>
        <v>7.839286111203136</v>
      </c>
      <c r="AV49" s="92">
        <f t="shared" si="27"/>
        <v>138.6</v>
      </c>
      <c r="AW49" s="95">
        <f t="shared" si="28"/>
        <v>94.646732909329984</v>
      </c>
    </row>
    <row r="50" spans="17:49" x14ac:dyDescent="0.25">
      <c r="Q50" s="32">
        <v>43</v>
      </c>
      <c r="R50" s="94">
        <f t="shared" si="0"/>
        <v>45</v>
      </c>
      <c r="S50" s="92">
        <f t="shared" si="32"/>
        <v>3.1533333333333333</v>
      </c>
      <c r="T50" s="92">
        <f t="shared" si="2"/>
        <v>14.4</v>
      </c>
      <c r="U50" s="95">
        <f t="shared" si="33"/>
        <v>9.8541666666666661</v>
      </c>
      <c r="V50" s="94">
        <f>IF(Variable_Management!$B$23=3,2,IF((S50*R50/T50)&lt;((T50*(1-(T50/R50)))/(2*Lm*Fsw)),1,2))</f>
        <v>2</v>
      </c>
      <c r="W50" s="92">
        <f t="shared" si="34"/>
        <v>0.67999999999999994</v>
      </c>
      <c r="X50" s="95">
        <f t="shared" si="35"/>
        <v>0.32000000000000006</v>
      </c>
      <c r="Y50" s="94">
        <f t="shared" si="36"/>
        <v>7.4181818181818189</v>
      </c>
      <c r="Z50" s="92">
        <f t="shared" si="30"/>
        <v>13.563257575757575</v>
      </c>
      <c r="AA50" s="92">
        <f t="shared" si="31"/>
        <v>10.084165102694985</v>
      </c>
      <c r="AB50" s="92">
        <v>0</v>
      </c>
      <c r="AC50" s="92">
        <f t="shared" si="37"/>
        <v>0.61014231491046822</v>
      </c>
      <c r="AD50" s="95">
        <f t="shared" si="16"/>
        <v>0.61014231491046822</v>
      </c>
      <c r="AE50" s="94">
        <f t="shared" si="29"/>
        <v>6.7008333333333328</v>
      </c>
      <c r="AF50" s="92">
        <f t="shared" si="17"/>
        <v>8.3156155729157977</v>
      </c>
      <c r="AG50" s="92">
        <f t="shared" si="38"/>
        <v>0.48404623649563816</v>
      </c>
      <c r="AH50" s="92">
        <f t="shared" si="39"/>
        <v>3.0900251116071429</v>
      </c>
      <c r="AI50" s="95">
        <f t="shared" si="19"/>
        <v>3.5740713481027813</v>
      </c>
      <c r="AJ50" s="94">
        <f t="shared" si="20"/>
        <v>3.1533333333333338</v>
      </c>
      <c r="AK50" s="92">
        <f t="shared" si="40"/>
        <v>5.7044652213762905</v>
      </c>
      <c r="AL50" s="92">
        <f t="shared" si="41"/>
        <v>0.22778646423324156</v>
      </c>
      <c r="AM50" s="92">
        <f t="shared" si="48"/>
        <v>0.34846000000000005</v>
      </c>
      <c r="AN50" s="211">
        <f t="shared" si="42"/>
        <v>0.23057537878787879</v>
      </c>
      <c r="AO50" s="95">
        <f t="shared" si="24"/>
        <v>0.80682184302112048</v>
      </c>
      <c r="AP50" s="94">
        <f t="shared" si="43"/>
        <v>0.15253557872761705</v>
      </c>
      <c r="AQ50" s="230">
        <f t="shared" si="44"/>
        <v>0.61014231491046822</v>
      </c>
      <c r="AR50" s="230">
        <f t="shared" si="45"/>
        <v>2.2167935757072685</v>
      </c>
      <c r="AS50" s="92">
        <f t="shared" si="46"/>
        <v>3.6000000000000004E-2</v>
      </c>
      <c r="AT50" s="95">
        <f t="shared" si="47"/>
        <v>4.7519999999999999E-5</v>
      </c>
      <c r="AU50" s="94">
        <f t="shared" si="26"/>
        <v>8.0065544953797225</v>
      </c>
      <c r="AV50" s="92">
        <f t="shared" si="27"/>
        <v>141.9</v>
      </c>
      <c r="AW50" s="95">
        <f t="shared" si="28"/>
        <v>94.658969701270465</v>
      </c>
    </row>
    <row r="51" spans="17:49" x14ac:dyDescent="0.25">
      <c r="Q51" s="32">
        <v>44</v>
      </c>
      <c r="R51" s="94">
        <f t="shared" si="0"/>
        <v>45</v>
      </c>
      <c r="S51" s="92">
        <f t="shared" si="32"/>
        <v>3.2266666666666666</v>
      </c>
      <c r="T51" s="92">
        <f t="shared" si="2"/>
        <v>14.4</v>
      </c>
      <c r="U51" s="95">
        <f t="shared" si="33"/>
        <v>10.083333333333332</v>
      </c>
      <c r="V51" s="94">
        <f>IF(Variable_Management!$B$23=3,2,IF((S51*R51/T51)&lt;((T51*(1-(T51/R51)))/(2*Lm*Fsw)),1,2))</f>
        <v>2</v>
      </c>
      <c r="W51" s="92">
        <f t="shared" si="34"/>
        <v>0.67999999999999994</v>
      </c>
      <c r="X51" s="95">
        <f t="shared" si="35"/>
        <v>0.32000000000000006</v>
      </c>
      <c r="Y51" s="94">
        <f t="shared" si="36"/>
        <v>7.4181818181818189</v>
      </c>
      <c r="Z51" s="92">
        <f t="shared" si="30"/>
        <v>13.792424242424241</v>
      </c>
      <c r="AA51" s="92">
        <f t="shared" si="31"/>
        <v>10.308219838317285</v>
      </c>
      <c r="AB51" s="92">
        <v>0</v>
      </c>
      <c r="AC51" s="92">
        <f t="shared" si="37"/>
        <v>0.63755637741046822</v>
      </c>
      <c r="AD51" s="95">
        <f t="shared" si="16"/>
        <v>0.63755637741046822</v>
      </c>
      <c r="AE51" s="94">
        <f t="shared" si="29"/>
        <v>6.8566666666666656</v>
      </c>
      <c r="AF51" s="92">
        <f t="shared" si="17"/>
        <v>8.5003758410939128</v>
      </c>
      <c r="AG51" s="92">
        <f t="shared" si="38"/>
        <v>0.50579472607897125</v>
      </c>
      <c r="AH51" s="92">
        <f t="shared" si="39"/>
        <v>3.161886160714285</v>
      </c>
      <c r="AI51" s="95">
        <f t="shared" si="19"/>
        <v>3.6676808867932564</v>
      </c>
      <c r="AJ51" s="94">
        <f t="shared" si="20"/>
        <v>3.226666666666667</v>
      </c>
      <c r="AK51" s="92">
        <f t="shared" si="40"/>
        <v>5.8312097197086796</v>
      </c>
      <c r="AL51" s="92">
        <f t="shared" si="41"/>
        <v>0.23802104756657483</v>
      </c>
      <c r="AM51" s="92">
        <f t="shared" si="48"/>
        <v>0.34846000000000005</v>
      </c>
      <c r="AN51" s="211">
        <f t="shared" si="42"/>
        <v>0.23447121212121211</v>
      </c>
      <c r="AO51" s="95">
        <f t="shared" si="24"/>
        <v>0.82095225968778707</v>
      </c>
      <c r="AP51" s="94">
        <f t="shared" si="43"/>
        <v>0.15938909435261706</v>
      </c>
      <c r="AQ51" s="230">
        <f t="shared" si="44"/>
        <v>0.63755637741046822</v>
      </c>
      <c r="AR51" s="230">
        <f t="shared" si="45"/>
        <v>2.2167935757072685</v>
      </c>
      <c r="AS51" s="92">
        <f t="shared" si="46"/>
        <v>3.6000000000000004E-2</v>
      </c>
      <c r="AT51" s="95">
        <f t="shared" si="47"/>
        <v>4.7519999999999999E-5</v>
      </c>
      <c r="AU51" s="94">
        <f t="shared" si="26"/>
        <v>8.1759760913618642</v>
      </c>
      <c r="AV51" s="92">
        <f t="shared" si="27"/>
        <v>145.19999999999999</v>
      </c>
      <c r="AW51" s="95">
        <f t="shared" si="28"/>
        <v>94.669324166848881</v>
      </c>
    </row>
    <row r="52" spans="17:49" x14ac:dyDescent="0.25">
      <c r="Q52" s="32">
        <v>45</v>
      </c>
      <c r="R52" s="94">
        <f t="shared" si="0"/>
        <v>45</v>
      </c>
      <c r="S52" s="92">
        <f t="shared" si="32"/>
        <v>3.3</v>
      </c>
      <c r="T52" s="92">
        <f t="shared" si="2"/>
        <v>14.4</v>
      </c>
      <c r="U52" s="95">
        <f t="shared" si="33"/>
        <v>10.3125</v>
      </c>
      <c r="V52" s="94">
        <f>IF(Variable_Management!$B$23=3,2,IF((S52*R52/T52)&lt;((T52*(1-(T52/R52)))/(2*Lm*Fsw)),1,2))</f>
        <v>2</v>
      </c>
      <c r="W52" s="92">
        <f t="shared" si="34"/>
        <v>0.67999999999999994</v>
      </c>
      <c r="X52" s="95">
        <f t="shared" si="35"/>
        <v>0.32000000000000006</v>
      </c>
      <c r="Y52" s="94">
        <f t="shared" si="36"/>
        <v>7.4181818181818189</v>
      </c>
      <c r="Z52" s="92">
        <f t="shared" si="30"/>
        <v>14.021590909090909</v>
      </c>
      <c r="AA52" s="92">
        <f t="shared" si="31"/>
        <v>10.532494546590895</v>
      </c>
      <c r="AB52" s="92">
        <v>0</v>
      </c>
      <c r="AC52" s="92">
        <f t="shared" si="37"/>
        <v>0.66560064824380172</v>
      </c>
      <c r="AD52" s="95">
        <f t="shared" si="16"/>
        <v>0.66560064824380172</v>
      </c>
      <c r="AE52" s="94">
        <f t="shared" si="29"/>
        <v>7.0124999999999993</v>
      </c>
      <c r="AF52" s="92">
        <f t="shared" si="17"/>
        <v>8.6853175033672496</v>
      </c>
      <c r="AG52" s="92">
        <f t="shared" si="38"/>
        <v>0.52804318094008262</v>
      </c>
      <c r="AH52" s="92">
        <f t="shared" si="39"/>
        <v>3.2337472098214284</v>
      </c>
      <c r="AI52" s="95">
        <f t="shared" si="19"/>
        <v>3.7617903907615111</v>
      </c>
      <c r="AJ52" s="94">
        <f t="shared" si="20"/>
        <v>3.3000000000000007</v>
      </c>
      <c r="AK52" s="92">
        <f t="shared" si="40"/>
        <v>5.9580786533638026</v>
      </c>
      <c r="AL52" s="92">
        <f t="shared" si="41"/>
        <v>0.24849090867768597</v>
      </c>
      <c r="AM52" s="92">
        <f t="shared" si="48"/>
        <v>0.34846000000000005</v>
      </c>
      <c r="AN52" s="211">
        <f t="shared" si="42"/>
        <v>0.23836704545454546</v>
      </c>
      <c r="AO52" s="95">
        <f t="shared" si="24"/>
        <v>0.83531795413223153</v>
      </c>
      <c r="AP52" s="94">
        <f t="shared" si="43"/>
        <v>0.16640016206095043</v>
      </c>
      <c r="AQ52" s="230">
        <f t="shared" si="44"/>
        <v>0.66560064824380172</v>
      </c>
      <c r="AR52" s="230">
        <f t="shared" si="45"/>
        <v>2.2167935757072685</v>
      </c>
      <c r="AS52" s="92">
        <f t="shared" si="46"/>
        <v>3.6000000000000004E-2</v>
      </c>
      <c r="AT52" s="95">
        <f t="shared" si="47"/>
        <v>4.7519999999999999E-5</v>
      </c>
      <c r="AU52" s="94">
        <f t="shared" si="26"/>
        <v>8.3475508991495637</v>
      </c>
      <c r="AV52" s="92">
        <f t="shared" si="27"/>
        <v>148.5</v>
      </c>
      <c r="AW52" s="95">
        <f t="shared" si="28"/>
        <v>94.677920789138184</v>
      </c>
    </row>
    <row r="53" spans="17:49" x14ac:dyDescent="0.25">
      <c r="Q53" s="32">
        <v>46</v>
      </c>
      <c r="R53" s="94">
        <f t="shared" si="0"/>
        <v>45</v>
      </c>
      <c r="S53" s="92">
        <f t="shared" si="32"/>
        <v>3.3733333333333335</v>
      </c>
      <c r="T53" s="92">
        <f t="shared" si="2"/>
        <v>14.4</v>
      </c>
      <c r="U53" s="95">
        <f t="shared" si="33"/>
        <v>10.541666666666668</v>
      </c>
      <c r="V53" s="94">
        <f>IF(Variable_Management!$B$23=3,2,IF((S53*R53/T53)&lt;((T53*(1-(T53/R53)))/(2*Lm*Fsw)),1,2))</f>
        <v>2</v>
      </c>
      <c r="W53" s="92">
        <f t="shared" si="34"/>
        <v>0.67999999999999994</v>
      </c>
      <c r="X53" s="95">
        <f t="shared" si="35"/>
        <v>0.32000000000000006</v>
      </c>
      <c r="Y53" s="94">
        <f t="shared" si="36"/>
        <v>7.4181818181818189</v>
      </c>
      <c r="Z53" s="92">
        <f t="shared" si="30"/>
        <v>14.250757575757577</v>
      </c>
      <c r="AA53" s="92">
        <f t="shared" si="31"/>
        <v>10.756975468740183</v>
      </c>
      <c r="AB53" s="92">
        <v>0</v>
      </c>
      <c r="AC53" s="92">
        <f t="shared" si="37"/>
        <v>0.69427512741046848</v>
      </c>
      <c r="AD53" s="95">
        <f t="shared" si="16"/>
        <v>0.69427512741046848</v>
      </c>
      <c r="AE53" s="94">
        <f t="shared" si="29"/>
        <v>7.1683333333333339</v>
      </c>
      <c r="AF53" s="92">
        <f t="shared" si="17"/>
        <v>8.8704292139587633</v>
      </c>
      <c r="AG53" s="92">
        <f t="shared" si="38"/>
        <v>0.55079160107897163</v>
      </c>
      <c r="AH53" s="92">
        <f t="shared" si="39"/>
        <v>3.3056082589285718</v>
      </c>
      <c r="AI53" s="95">
        <f t="shared" si="19"/>
        <v>3.8563998600075435</v>
      </c>
      <c r="AJ53" s="94">
        <f t="shared" si="20"/>
        <v>3.3733333333333344</v>
      </c>
      <c r="AK53" s="92">
        <f t="shared" si="40"/>
        <v>6.0850642392028194</v>
      </c>
      <c r="AL53" s="92">
        <f t="shared" si="41"/>
        <v>0.25919604756657494</v>
      </c>
      <c r="AM53" s="92">
        <f t="shared" si="48"/>
        <v>0.34846000000000005</v>
      </c>
      <c r="AN53" s="211">
        <f t="shared" si="42"/>
        <v>0.24226287878787883</v>
      </c>
      <c r="AO53" s="95">
        <f t="shared" si="24"/>
        <v>0.84991892635445376</v>
      </c>
      <c r="AP53" s="94">
        <f t="shared" si="43"/>
        <v>0.17356878185261712</v>
      </c>
      <c r="AQ53" s="230">
        <f t="shared" si="44"/>
        <v>0.69427512741046848</v>
      </c>
      <c r="AR53" s="230">
        <f t="shared" si="45"/>
        <v>2.2167935757072685</v>
      </c>
      <c r="AS53" s="92">
        <f t="shared" si="46"/>
        <v>3.6000000000000004E-2</v>
      </c>
      <c r="AT53" s="95">
        <f t="shared" si="47"/>
        <v>4.7519999999999999E-5</v>
      </c>
      <c r="AU53" s="94">
        <f t="shared" si="26"/>
        <v>8.5212789187428193</v>
      </c>
      <c r="AV53" s="92">
        <f t="shared" si="27"/>
        <v>151.80000000000001</v>
      </c>
      <c r="AW53" s="95">
        <f t="shared" si="28"/>
        <v>94.684873414051467</v>
      </c>
    </row>
    <row r="54" spans="17:49" x14ac:dyDescent="0.25">
      <c r="Q54" s="32">
        <v>47</v>
      </c>
      <c r="R54" s="94">
        <f t="shared" si="0"/>
        <v>45</v>
      </c>
      <c r="S54" s="92">
        <f t="shared" si="32"/>
        <v>3.4466666666666668</v>
      </c>
      <c r="T54" s="92">
        <f t="shared" si="2"/>
        <v>14.4</v>
      </c>
      <c r="U54" s="95">
        <f t="shared" si="33"/>
        <v>10.770833333333332</v>
      </c>
      <c r="V54" s="94">
        <f>IF(Variable_Management!$B$23=3,2,IF((S54*R54/T54)&lt;((T54*(1-(T54/R54)))/(2*Lm*Fsw)),1,2))</f>
        <v>2</v>
      </c>
      <c r="W54" s="92">
        <f t="shared" si="34"/>
        <v>0.67999999999999994</v>
      </c>
      <c r="X54" s="95">
        <f t="shared" si="35"/>
        <v>0.32000000000000006</v>
      </c>
      <c r="Y54" s="94">
        <f t="shared" si="36"/>
        <v>7.4181818181818189</v>
      </c>
      <c r="Z54" s="92">
        <f t="shared" si="30"/>
        <v>14.479924242424241</v>
      </c>
      <c r="AA54" s="92">
        <f t="shared" si="31"/>
        <v>10.981649958836392</v>
      </c>
      <c r="AB54" s="92">
        <v>0</v>
      </c>
      <c r="AC54" s="92">
        <f t="shared" si="37"/>
        <v>0.72357981491046808</v>
      </c>
      <c r="AD54" s="95">
        <f t="shared" si="16"/>
        <v>0.72357981491046808</v>
      </c>
      <c r="AE54" s="94">
        <f t="shared" si="29"/>
        <v>7.3241666666666649</v>
      </c>
      <c r="AF54" s="92">
        <f t="shared" si="17"/>
        <v>9.055700544768456</v>
      </c>
      <c r="AG54" s="92">
        <f t="shared" si="38"/>
        <v>0.57403998649563792</v>
      </c>
      <c r="AH54" s="92">
        <f t="shared" si="39"/>
        <v>3.3774693080357139</v>
      </c>
      <c r="AI54" s="95">
        <f t="shared" si="19"/>
        <v>3.9515092945313519</v>
      </c>
      <c r="AJ54" s="94">
        <f t="shared" si="20"/>
        <v>3.4466666666666668</v>
      </c>
      <c r="AK54" s="92">
        <f t="shared" si="40"/>
        <v>6.2121593236081472</v>
      </c>
      <c r="AL54" s="92">
        <f t="shared" si="41"/>
        <v>0.27013646423324145</v>
      </c>
      <c r="AM54" s="92">
        <f t="shared" si="48"/>
        <v>0.34846000000000005</v>
      </c>
      <c r="AN54" s="211">
        <f t="shared" si="42"/>
        <v>0.24615871212121213</v>
      </c>
      <c r="AO54" s="95">
        <f t="shared" si="24"/>
        <v>0.86475517635445365</v>
      </c>
      <c r="AP54" s="94">
        <f t="shared" si="43"/>
        <v>0.18089495372761702</v>
      </c>
      <c r="AQ54" s="230">
        <f t="shared" si="44"/>
        <v>0.72357981491046808</v>
      </c>
      <c r="AR54" s="230">
        <f t="shared" si="45"/>
        <v>2.2167935757072685</v>
      </c>
      <c r="AS54" s="92">
        <f t="shared" si="46"/>
        <v>3.6000000000000004E-2</v>
      </c>
      <c r="AT54" s="95">
        <f t="shared" si="47"/>
        <v>4.7519999999999999E-5</v>
      </c>
      <c r="AU54" s="94">
        <f t="shared" si="26"/>
        <v>8.6971601501416274</v>
      </c>
      <c r="AV54" s="92">
        <f t="shared" si="27"/>
        <v>155.1</v>
      </c>
      <c r="AW54" s="95">
        <f t="shared" si="28"/>
        <v>94.69028636261487</v>
      </c>
    </row>
    <row r="55" spans="17:49" x14ac:dyDescent="0.25">
      <c r="Q55" s="32">
        <v>48</v>
      </c>
      <c r="R55" s="94">
        <f t="shared" si="0"/>
        <v>45</v>
      </c>
      <c r="S55" s="92">
        <f t="shared" si="32"/>
        <v>3.52</v>
      </c>
      <c r="T55" s="92">
        <f t="shared" si="2"/>
        <v>14.4</v>
      </c>
      <c r="U55" s="95">
        <f t="shared" si="33"/>
        <v>11</v>
      </c>
      <c r="V55" s="94">
        <f>IF(Variable_Management!$B$23=3,2,IF((S55*R55/T55)&lt;((T55*(1-(T55/R55)))/(2*Lm*Fsw)),1,2))</f>
        <v>2</v>
      </c>
      <c r="W55" s="92">
        <f t="shared" si="34"/>
        <v>0.67999999999999994</v>
      </c>
      <c r="X55" s="95">
        <f t="shared" si="35"/>
        <v>0.32000000000000006</v>
      </c>
      <c r="Y55" s="94">
        <f t="shared" si="36"/>
        <v>7.4181818181818189</v>
      </c>
      <c r="Z55" s="92">
        <f t="shared" si="30"/>
        <v>14.709090909090909</v>
      </c>
      <c r="AA55" s="92">
        <f t="shared" si="31"/>
        <v>11.206506374600737</v>
      </c>
      <c r="AB55" s="92">
        <v>0</v>
      </c>
      <c r="AC55" s="92">
        <f t="shared" si="37"/>
        <v>0.75351471074380172</v>
      </c>
      <c r="AD55" s="95">
        <f t="shared" si="16"/>
        <v>0.75351471074380172</v>
      </c>
      <c r="AE55" s="94">
        <f t="shared" si="29"/>
        <v>7.4799999999999995</v>
      </c>
      <c r="AF55" s="92">
        <f t="shared" si="17"/>
        <v>9.2411218953272929</v>
      </c>
      <c r="AG55" s="92">
        <f t="shared" si="38"/>
        <v>0.59778833719008251</v>
      </c>
      <c r="AH55" s="92">
        <f t="shared" si="39"/>
        <v>3.4493303571428573</v>
      </c>
      <c r="AI55" s="95">
        <f t="shared" si="19"/>
        <v>4.0471186943329398</v>
      </c>
      <c r="AJ55" s="94">
        <f t="shared" si="20"/>
        <v>3.5200000000000005</v>
      </c>
      <c r="AK55" s="92">
        <f t="shared" si="40"/>
        <v>6.339357320712363</v>
      </c>
      <c r="AL55" s="92">
        <f t="shared" si="41"/>
        <v>0.281312158677686</v>
      </c>
      <c r="AM55" s="92">
        <f t="shared" si="48"/>
        <v>0.34846000000000005</v>
      </c>
      <c r="AN55" s="211">
        <f t="shared" si="42"/>
        <v>0.25005454545454547</v>
      </c>
      <c r="AO55" s="95">
        <f t="shared" si="24"/>
        <v>0.87982670413223163</v>
      </c>
      <c r="AP55" s="94">
        <f t="shared" si="43"/>
        <v>0.18837867768595043</v>
      </c>
      <c r="AQ55" s="230">
        <f t="shared" si="44"/>
        <v>0.75351471074380172</v>
      </c>
      <c r="AR55" s="230">
        <f t="shared" si="45"/>
        <v>2.2167935757072685</v>
      </c>
      <c r="AS55" s="92">
        <f t="shared" si="46"/>
        <v>3.6000000000000004E-2</v>
      </c>
      <c r="AT55" s="95">
        <f t="shared" si="47"/>
        <v>4.7519999999999999E-5</v>
      </c>
      <c r="AU55" s="94">
        <f t="shared" si="26"/>
        <v>8.8751945933459933</v>
      </c>
      <c r="AV55" s="92">
        <f t="shared" si="27"/>
        <v>158.4</v>
      </c>
      <c r="AW55" s="95">
        <f t="shared" si="28"/>
        <v>94.694255406534126</v>
      </c>
    </row>
    <row r="56" spans="17:49" x14ac:dyDescent="0.25">
      <c r="Q56" s="32">
        <v>49</v>
      </c>
      <c r="R56" s="94">
        <f t="shared" si="0"/>
        <v>45</v>
      </c>
      <c r="S56" s="92">
        <f t="shared" si="32"/>
        <v>3.5933333333333333</v>
      </c>
      <c r="T56" s="92">
        <f t="shared" si="2"/>
        <v>14.4</v>
      </c>
      <c r="U56" s="95">
        <f t="shared" si="33"/>
        <v>11.229166666666666</v>
      </c>
      <c r="V56" s="94">
        <f>IF(Variable_Management!$B$23=3,2,IF((S56*R56/T56)&lt;((T56*(1-(T56/R56)))/(2*Lm*Fsw)),1,2))</f>
        <v>2</v>
      </c>
      <c r="W56" s="92">
        <f t="shared" si="34"/>
        <v>0.67999999999999994</v>
      </c>
      <c r="X56" s="95">
        <f t="shared" si="35"/>
        <v>0.32000000000000006</v>
      </c>
      <c r="Y56" s="94">
        <f t="shared" si="36"/>
        <v>7.4181818181818189</v>
      </c>
      <c r="Z56" s="92">
        <f t="shared" si="30"/>
        <v>14.938257575757575</v>
      </c>
      <c r="AA56" s="92">
        <f t="shared" si="31"/>
        <v>11.431533980693262</v>
      </c>
      <c r="AB56" s="92">
        <v>0</v>
      </c>
      <c r="AC56" s="92">
        <f t="shared" si="37"/>
        <v>0.78407981491046841</v>
      </c>
      <c r="AD56" s="95">
        <f t="shared" si="16"/>
        <v>0.78407981491046841</v>
      </c>
      <c r="AE56" s="94">
        <f t="shared" si="29"/>
        <v>7.6358333333333324</v>
      </c>
      <c r="AF56" s="92">
        <f t="shared" si="17"/>
        <v>9.4266844130471661</v>
      </c>
      <c r="AG56" s="92">
        <f t="shared" si="38"/>
        <v>0.62203665316230472</v>
      </c>
      <c r="AH56" s="92">
        <f t="shared" si="39"/>
        <v>3.5211914062499998</v>
      </c>
      <c r="AI56" s="95">
        <f t="shared" si="19"/>
        <v>4.143228059412305</v>
      </c>
      <c r="AJ56" s="94">
        <f t="shared" si="20"/>
        <v>3.5933333333333337</v>
      </c>
      <c r="AK56" s="92">
        <f t="shared" si="40"/>
        <v>6.466652157690123</v>
      </c>
      <c r="AL56" s="92">
        <f t="shared" si="41"/>
        <v>0.29272313089990826</v>
      </c>
      <c r="AM56" s="92">
        <f t="shared" si="48"/>
        <v>0.34846000000000005</v>
      </c>
      <c r="AN56" s="211">
        <f t="shared" si="42"/>
        <v>0.25395037878787879</v>
      </c>
      <c r="AO56" s="95">
        <f t="shared" si="24"/>
        <v>0.89513350968778704</v>
      </c>
      <c r="AP56" s="94">
        <f t="shared" si="43"/>
        <v>0.1960199537276171</v>
      </c>
      <c r="AQ56" s="230">
        <f t="shared" si="44"/>
        <v>0.78407981491046841</v>
      </c>
      <c r="AR56" s="230">
        <f t="shared" si="45"/>
        <v>2.2167935757072685</v>
      </c>
      <c r="AS56" s="92">
        <f t="shared" si="46"/>
        <v>3.6000000000000004E-2</v>
      </c>
      <c r="AT56" s="95">
        <f t="shared" si="47"/>
        <v>4.7519999999999999E-5</v>
      </c>
      <c r="AU56" s="94">
        <f t="shared" si="26"/>
        <v>9.0553822483559134</v>
      </c>
      <c r="AV56" s="92">
        <f t="shared" si="27"/>
        <v>161.69999999999999</v>
      </c>
      <c r="AW56" s="95">
        <f t="shared" si="28"/>
        <v>94.696868626263679</v>
      </c>
    </row>
    <row r="57" spans="17:49" x14ac:dyDescent="0.25">
      <c r="Q57" s="32">
        <v>50</v>
      </c>
      <c r="R57" s="94">
        <f t="shared" si="0"/>
        <v>45</v>
      </c>
      <c r="S57" s="92">
        <f t="shared" si="32"/>
        <v>3.6666666666666665</v>
      </c>
      <c r="T57" s="92">
        <f t="shared" si="2"/>
        <v>14.4</v>
      </c>
      <c r="U57" s="95">
        <f t="shared" si="33"/>
        <v>11.458333333333334</v>
      </c>
      <c r="V57" s="94">
        <f>IF(Variable_Management!$B$23=3,2,IF((S57*R57/T57)&lt;((T57*(1-(T57/R57)))/(2*Lm*Fsw)),1,2))</f>
        <v>2</v>
      </c>
      <c r="W57" s="92">
        <f t="shared" si="34"/>
        <v>0.67999999999999994</v>
      </c>
      <c r="X57" s="95">
        <f t="shared" si="35"/>
        <v>0.32000000000000006</v>
      </c>
      <c r="Y57" s="94">
        <f t="shared" si="36"/>
        <v>7.4181818181818189</v>
      </c>
      <c r="Z57" s="92">
        <f t="shared" si="30"/>
        <v>15.167424242424243</v>
      </c>
      <c r="AA57" s="92">
        <f t="shared" si="31"/>
        <v>11.656722862869509</v>
      </c>
      <c r="AB57" s="92">
        <v>0</v>
      </c>
      <c r="AC57" s="92">
        <f t="shared" si="37"/>
        <v>0.81527512741046837</v>
      </c>
      <c r="AD57" s="95">
        <f t="shared" si="16"/>
        <v>0.81527512741046837</v>
      </c>
      <c r="AE57" s="94">
        <f t="shared" si="29"/>
        <v>7.7916666666666661</v>
      </c>
      <c r="AF57" s="92">
        <f t="shared" si="17"/>
        <v>9.6123799224326554</v>
      </c>
      <c r="AG57" s="92">
        <f t="shared" si="38"/>
        <v>0.646784934412305</v>
      </c>
      <c r="AH57" s="92">
        <f t="shared" si="39"/>
        <v>3.5930524553571428</v>
      </c>
      <c r="AI57" s="95">
        <f t="shared" si="19"/>
        <v>4.2398373897694475</v>
      </c>
      <c r="AJ57" s="94">
        <f t="shared" si="20"/>
        <v>3.6666666666666674</v>
      </c>
      <c r="AK57" s="92">
        <f t="shared" si="40"/>
        <v>6.5940382261978376</v>
      </c>
      <c r="AL57" s="92">
        <f t="shared" si="41"/>
        <v>0.30436938089990828</v>
      </c>
      <c r="AM57" s="92">
        <f t="shared" si="48"/>
        <v>0.34846000000000005</v>
      </c>
      <c r="AN57" s="211">
        <f t="shared" si="42"/>
        <v>0.25784621212121217</v>
      </c>
      <c r="AO57" s="95">
        <f t="shared" si="24"/>
        <v>0.91067559302112056</v>
      </c>
      <c r="AP57" s="94">
        <f t="shared" si="43"/>
        <v>0.20381878185261709</v>
      </c>
      <c r="AQ57" s="230">
        <f t="shared" si="44"/>
        <v>0.81527512741046837</v>
      </c>
      <c r="AR57" s="230">
        <f t="shared" si="45"/>
        <v>2.2167935757072685</v>
      </c>
      <c r="AS57" s="92">
        <f t="shared" si="46"/>
        <v>3.6000000000000004E-2</v>
      </c>
      <c r="AT57" s="95">
        <f t="shared" si="47"/>
        <v>4.7519999999999999E-5</v>
      </c>
      <c r="AU57" s="94">
        <f t="shared" si="26"/>
        <v>9.2377231151713914</v>
      </c>
      <c r="AV57" s="92">
        <f t="shared" si="27"/>
        <v>165</v>
      </c>
      <c r="AW57" s="95">
        <f t="shared" si="28"/>
        <v>94.698207167763996</v>
      </c>
    </row>
    <row r="58" spans="17:49" x14ac:dyDescent="0.25">
      <c r="Q58" s="32">
        <v>51</v>
      </c>
      <c r="R58" s="94">
        <f t="shared" si="0"/>
        <v>45</v>
      </c>
      <c r="S58" s="92">
        <f t="shared" si="32"/>
        <v>3.74</v>
      </c>
      <c r="T58" s="92">
        <f t="shared" si="2"/>
        <v>14.4</v>
      </c>
      <c r="U58" s="95">
        <f t="shared" si="33"/>
        <v>11.6875</v>
      </c>
      <c r="V58" s="94">
        <f>IF(Variable_Management!$B$23=3,2,IF((S58*R58/T58)&lt;((T58*(1-(T58/R58)))/(2*Lm*Fsw)),1,2))</f>
        <v>2</v>
      </c>
      <c r="W58" s="92">
        <f t="shared" si="34"/>
        <v>0.67999999999999994</v>
      </c>
      <c r="X58" s="95">
        <f t="shared" si="35"/>
        <v>0.32000000000000006</v>
      </c>
      <c r="Y58" s="94">
        <f t="shared" si="36"/>
        <v>7.4181818181818189</v>
      </c>
      <c r="Z58" s="92">
        <f t="shared" si="30"/>
        <v>15.396590909090909</v>
      </c>
      <c r="AA58" s="92">
        <f t="shared" si="31"/>
        <v>11.882063851619673</v>
      </c>
      <c r="AB58" s="92">
        <v>0</v>
      </c>
      <c r="AC58" s="92">
        <f t="shared" si="37"/>
        <v>0.8471006482438016</v>
      </c>
      <c r="AD58" s="95">
        <f t="shared" si="16"/>
        <v>0.8471006482438016</v>
      </c>
      <c r="AE58" s="94">
        <f t="shared" si="29"/>
        <v>7.9474999999999989</v>
      </c>
      <c r="AF58" s="92">
        <f t="shared" si="17"/>
        <v>9.7982008621122638</v>
      </c>
      <c r="AG58" s="92">
        <f t="shared" si="38"/>
        <v>0.67203318094008258</v>
      </c>
      <c r="AH58" s="92">
        <f t="shared" si="39"/>
        <v>3.6649135044642858</v>
      </c>
      <c r="AI58" s="95">
        <f t="shared" si="19"/>
        <v>4.3369466854043681</v>
      </c>
      <c r="AJ58" s="94">
        <f t="shared" si="20"/>
        <v>3.7400000000000007</v>
      </c>
      <c r="AK58" s="92">
        <f t="shared" si="40"/>
        <v>6.7215103391774553</v>
      </c>
      <c r="AL58" s="92">
        <f t="shared" si="41"/>
        <v>0.31625090867768602</v>
      </c>
      <c r="AM58" s="92">
        <f t="shared" si="48"/>
        <v>0.34846000000000005</v>
      </c>
      <c r="AN58" s="211">
        <f t="shared" si="42"/>
        <v>0.26174204545454549</v>
      </c>
      <c r="AO58" s="95">
        <f t="shared" si="24"/>
        <v>0.92645295413223161</v>
      </c>
      <c r="AP58" s="94">
        <f t="shared" si="43"/>
        <v>0.2117751620609504</v>
      </c>
      <c r="AQ58" s="230">
        <f t="shared" si="44"/>
        <v>0.8471006482438016</v>
      </c>
      <c r="AR58" s="230">
        <f t="shared" si="45"/>
        <v>2.2167935757072685</v>
      </c>
      <c r="AS58" s="92">
        <f t="shared" si="46"/>
        <v>3.6000000000000004E-2</v>
      </c>
      <c r="AT58" s="95">
        <f t="shared" si="47"/>
        <v>4.7519999999999999E-5</v>
      </c>
      <c r="AU58" s="94">
        <f t="shared" si="26"/>
        <v>9.422217193792422</v>
      </c>
      <c r="AV58" s="92">
        <f t="shared" si="27"/>
        <v>168.3</v>
      </c>
      <c r="AW58" s="95">
        <f t="shared" si="28"/>
        <v>94.698345911632302</v>
      </c>
    </row>
    <row r="59" spans="17:49" x14ac:dyDescent="0.25">
      <c r="Q59" s="32">
        <v>52</v>
      </c>
      <c r="R59" s="94">
        <f t="shared" si="0"/>
        <v>45</v>
      </c>
      <c r="S59" s="92">
        <f t="shared" si="32"/>
        <v>3.8133333333333335</v>
      </c>
      <c r="T59" s="92">
        <f t="shared" si="2"/>
        <v>14.4</v>
      </c>
      <c r="U59" s="95">
        <f t="shared" si="33"/>
        <v>11.916666666666666</v>
      </c>
      <c r="V59" s="94">
        <f>IF(Variable_Management!$B$23=3,2,IF((S59*R59/T59)&lt;((T59*(1-(T59/R59)))/(2*Lm*Fsw)),1,2))</f>
        <v>2</v>
      </c>
      <c r="W59" s="92">
        <f t="shared" si="34"/>
        <v>0.67999999999999994</v>
      </c>
      <c r="X59" s="95">
        <f t="shared" si="35"/>
        <v>0.32000000000000006</v>
      </c>
      <c r="Y59" s="94">
        <f t="shared" si="36"/>
        <v>7.4181818181818189</v>
      </c>
      <c r="Z59" s="92">
        <f t="shared" si="30"/>
        <v>15.625757575757575</v>
      </c>
      <c r="AA59" s="92">
        <f t="shared" si="31"/>
        <v>12.107548454101323</v>
      </c>
      <c r="AB59" s="92">
        <v>0</v>
      </c>
      <c r="AC59" s="92">
        <f t="shared" si="37"/>
        <v>0.87955637741046799</v>
      </c>
      <c r="AD59" s="95">
        <f t="shared" si="16"/>
        <v>0.87955637741046799</v>
      </c>
      <c r="AE59" s="94">
        <f t="shared" si="29"/>
        <v>8.1033333333333317</v>
      </c>
      <c r="AF59" s="92">
        <f t="shared" si="17"/>
        <v>9.984140228708716</v>
      </c>
      <c r="AG59" s="92">
        <f t="shared" si="38"/>
        <v>0.69778139274563811</v>
      </c>
      <c r="AH59" s="92">
        <f t="shared" si="39"/>
        <v>3.7367745535714283</v>
      </c>
      <c r="AI59" s="95">
        <f t="shared" si="19"/>
        <v>4.4345559463170661</v>
      </c>
      <c r="AJ59" s="94">
        <f t="shared" si="20"/>
        <v>3.8133333333333339</v>
      </c>
      <c r="AK59" s="92">
        <f t="shared" si="40"/>
        <v>6.8490636923517982</v>
      </c>
      <c r="AL59" s="92">
        <f t="shared" si="41"/>
        <v>0.32836771423324157</v>
      </c>
      <c r="AM59" s="92">
        <f t="shared" si="48"/>
        <v>0.34846000000000005</v>
      </c>
      <c r="AN59" s="211">
        <f t="shared" si="42"/>
        <v>0.26563787878787881</v>
      </c>
      <c r="AO59" s="95">
        <f t="shared" si="24"/>
        <v>0.94246559302112043</v>
      </c>
      <c r="AP59" s="94">
        <f t="shared" si="43"/>
        <v>0.219889094352617</v>
      </c>
      <c r="AQ59" s="230">
        <f t="shared" si="44"/>
        <v>0.87955637741046799</v>
      </c>
      <c r="AR59" s="230">
        <f t="shared" si="45"/>
        <v>2.2167935757072685</v>
      </c>
      <c r="AS59" s="92">
        <f t="shared" si="46"/>
        <v>3.6000000000000004E-2</v>
      </c>
      <c r="AT59" s="95">
        <f t="shared" si="47"/>
        <v>4.7519999999999999E-5</v>
      </c>
      <c r="AU59" s="94">
        <f t="shared" si="26"/>
        <v>9.6088644842190085</v>
      </c>
      <c r="AV59" s="92">
        <f t="shared" si="27"/>
        <v>171.6</v>
      </c>
      <c r="AW59" s="95">
        <f t="shared" si="28"/>
        <v>94.697354066221294</v>
      </c>
    </row>
    <row r="60" spans="17:49" x14ac:dyDescent="0.25">
      <c r="Q60" s="32">
        <v>53</v>
      </c>
      <c r="R60" s="94">
        <f t="shared" si="0"/>
        <v>45</v>
      </c>
      <c r="S60" s="92">
        <f t="shared" si="32"/>
        <v>3.8866666666666667</v>
      </c>
      <c r="T60" s="92">
        <f t="shared" si="2"/>
        <v>14.4</v>
      </c>
      <c r="U60" s="95">
        <f t="shared" si="33"/>
        <v>12.145833333333334</v>
      </c>
      <c r="V60" s="94">
        <f>IF(Variable_Management!$B$23=3,2,IF((S60*R60/T60)&lt;((T60*(1-(T60/R60)))/(2*Lm*Fsw)),1,2))</f>
        <v>2</v>
      </c>
      <c r="W60" s="92">
        <f t="shared" si="34"/>
        <v>0.67999999999999994</v>
      </c>
      <c r="X60" s="95">
        <f t="shared" si="35"/>
        <v>0.32000000000000006</v>
      </c>
      <c r="Y60" s="94">
        <f t="shared" si="36"/>
        <v>7.4181818181818189</v>
      </c>
      <c r="Z60" s="92">
        <f t="shared" si="30"/>
        <v>15.854924242424243</v>
      </c>
      <c r="AA60" s="92">
        <f t="shared" si="31"/>
        <v>12.33316879334253</v>
      </c>
      <c r="AB60" s="92">
        <v>0</v>
      </c>
      <c r="AC60" s="92">
        <f t="shared" si="37"/>
        <v>0.91264231491046832</v>
      </c>
      <c r="AD60" s="95">
        <f t="shared" si="16"/>
        <v>0.91264231491046832</v>
      </c>
      <c r="AE60" s="94">
        <f t="shared" si="29"/>
        <v>8.2591666666666654</v>
      </c>
      <c r="AF60" s="92">
        <f t="shared" si="17"/>
        <v>10.170191526704553</v>
      </c>
      <c r="AG60" s="92">
        <f t="shared" si="38"/>
        <v>0.7240295698289716</v>
      </c>
      <c r="AH60" s="92">
        <f t="shared" si="39"/>
        <v>3.8086356026785713</v>
      </c>
      <c r="AI60" s="95">
        <f t="shared" si="19"/>
        <v>4.5326651725075431</v>
      </c>
      <c r="AJ60" s="94">
        <f t="shared" si="20"/>
        <v>3.8866666666666676</v>
      </c>
      <c r="AK60" s="92">
        <f t="shared" si="40"/>
        <v>6.9766938298326506</v>
      </c>
      <c r="AL60" s="92">
        <f t="shared" si="41"/>
        <v>0.34071979756657483</v>
      </c>
      <c r="AM60" s="92">
        <f t="shared" si="48"/>
        <v>0.34846000000000005</v>
      </c>
      <c r="AN60" s="211">
        <f t="shared" si="42"/>
        <v>0.26953371212121213</v>
      </c>
      <c r="AO60" s="95">
        <f t="shared" si="24"/>
        <v>0.95871350968778701</v>
      </c>
      <c r="AP60" s="94">
        <f t="shared" si="43"/>
        <v>0.22816057872761708</v>
      </c>
      <c r="AQ60" s="230">
        <f t="shared" si="44"/>
        <v>0.91264231491046832</v>
      </c>
      <c r="AR60" s="230">
        <f t="shared" si="45"/>
        <v>2.2167935757072685</v>
      </c>
      <c r="AS60" s="92">
        <f t="shared" si="46"/>
        <v>3.6000000000000004E-2</v>
      </c>
      <c r="AT60" s="95">
        <f t="shared" si="47"/>
        <v>4.7519999999999999E-5</v>
      </c>
      <c r="AU60" s="94">
        <f t="shared" si="26"/>
        <v>9.7976649864511529</v>
      </c>
      <c r="AV60" s="92">
        <f t="shared" si="27"/>
        <v>174.9</v>
      </c>
      <c r="AW60" s="95">
        <f t="shared" si="28"/>
        <v>94.695295694631611</v>
      </c>
    </row>
    <row r="61" spans="17:49" x14ac:dyDescent="0.25">
      <c r="Q61" s="32">
        <v>54</v>
      </c>
      <c r="R61" s="94">
        <f t="shared" si="0"/>
        <v>45</v>
      </c>
      <c r="S61" s="92">
        <f t="shared" si="32"/>
        <v>3.96</v>
      </c>
      <c r="T61" s="92">
        <f t="shared" si="2"/>
        <v>14.4</v>
      </c>
      <c r="U61" s="95">
        <f t="shared" si="33"/>
        <v>12.374999999999998</v>
      </c>
      <c r="V61" s="94">
        <f>IF(Variable_Management!$B$23=3,2,IF((S61*R61/T61)&lt;((T61*(1-(T61/R61)))/(2*Lm*Fsw)),1,2))</f>
        <v>2</v>
      </c>
      <c r="W61" s="92">
        <f t="shared" si="34"/>
        <v>0.67999999999999994</v>
      </c>
      <c r="X61" s="95">
        <f t="shared" si="35"/>
        <v>0.32000000000000006</v>
      </c>
      <c r="Y61" s="94">
        <f t="shared" si="36"/>
        <v>7.4181818181818189</v>
      </c>
      <c r="Z61" s="92">
        <f t="shared" si="30"/>
        <v>16.084090909090907</v>
      </c>
      <c r="AA61" s="92">
        <f t="shared" si="31"/>
        <v>12.558917553832691</v>
      </c>
      <c r="AB61" s="92">
        <v>0</v>
      </c>
      <c r="AC61" s="92">
        <f t="shared" si="37"/>
        <v>0.94635846074380137</v>
      </c>
      <c r="AD61" s="95">
        <f t="shared" si="16"/>
        <v>0.94635846074380137</v>
      </c>
      <c r="AE61" s="94">
        <f t="shared" si="29"/>
        <v>8.4149999999999974</v>
      </c>
      <c r="AF61" s="92">
        <f t="shared" si="17"/>
        <v>10.356348723575191</v>
      </c>
      <c r="AG61" s="92">
        <f t="shared" si="38"/>
        <v>0.75077771219008249</v>
      </c>
      <c r="AH61" s="92">
        <f t="shared" si="39"/>
        <v>3.8804966517857133</v>
      </c>
      <c r="AI61" s="95">
        <f t="shared" si="19"/>
        <v>4.6312743639757956</v>
      </c>
      <c r="AJ61" s="94">
        <f t="shared" si="20"/>
        <v>3.9600000000000004</v>
      </c>
      <c r="AK61" s="92">
        <f t="shared" si="40"/>
        <v>7.1043966133422911</v>
      </c>
      <c r="AL61" s="92">
        <f t="shared" si="41"/>
        <v>0.35330715867768592</v>
      </c>
      <c r="AM61" s="92">
        <f t="shared" si="48"/>
        <v>0.34846000000000005</v>
      </c>
      <c r="AN61" s="211">
        <f t="shared" si="42"/>
        <v>0.27342954545454545</v>
      </c>
      <c r="AO61" s="95">
        <f t="shared" si="24"/>
        <v>0.97519670413223136</v>
      </c>
      <c r="AP61" s="94">
        <f t="shared" si="43"/>
        <v>0.23658961518595034</v>
      </c>
      <c r="AQ61" s="230">
        <f t="shared" si="44"/>
        <v>0.94635846074380137</v>
      </c>
      <c r="AR61" s="230">
        <f t="shared" si="45"/>
        <v>2.2167935757072685</v>
      </c>
      <c r="AS61" s="92">
        <f t="shared" si="46"/>
        <v>3.6000000000000004E-2</v>
      </c>
      <c r="AT61" s="95">
        <f t="shared" si="47"/>
        <v>4.7519999999999999E-5</v>
      </c>
      <c r="AU61" s="94">
        <f t="shared" si="26"/>
        <v>9.988618700488848</v>
      </c>
      <c r="AV61" s="92">
        <f t="shared" si="27"/>
        <v>178.2</v>
      </c>
      <c r="AW61" s="95">
        <f t="shared" si="28"/>
        <v>94.692230184022861</v>
      </c>
    </row>
    <row r="62" spans="17:49" x14ac:dyDescent="0.25">
      <c r="Q62" s="32">
        <v>55</v>
      </c>
      <c r="R62" s="94">
        <f t="shared" si="0"/>
        <v>45</v>
      </c>
      <c r="S62" s="92">
        <f t="shared" si="32"/>
        <v>4.0333333333333332</v>
      </c>
      <c r="T62" s="92">
        <f t="shared" si="2"/>
        <v>14.4</v>
      </c>
      <c r="U62" s="95">
        <f t="shared" si="33"/>
        <v>12.604166666666666</v>
      </c>
      <c r="V62" s="94">
        <f>IF(Variable_Management!$B$23=3,2,IF((S62*R62/T62)&lt;((T62*(1-(T62/R62)))/(2*Lm*Fsw)),1,2))</f>
        <v>2</v>
      </c>
      <c r="W62" s="92">
        <f t="shared" si="34"/>
        <v>0.67999999999999994</v>
      </c>
      <c r="X62" s="95">
        <f t="shared" si="35"/>
        <v>0.32000000000000006</v>
      </c>
      <c r="Y62" s="94">
        <f t="shared" si="36"/>
        <v>7.4181818181818189</v>
      </c>
      <c r="Z62" s="92">
        <f t="shared" si="30"/>
        <v>16.313257575757575</v>
      </c>
      <c r="AA62" s="92">
        <f t="shared" si="31"/>
        <v>12.7847879327378</v>
      </c>
      <c r="AB62" s="92">
        <v>0</v>
      </c>
      <c r="AC62" s="92">
        <f t="shared" si="37"/>
        <v>0.98070481491046846</v>
      </c>
      <c r="AD62" s="95">
        <f t="shared" si="16"/>
        <v>0.98070481491046846</v>
      </c>
      <c r="AE62" s="94">
        <f t="shared" si="29"/>
        <v>8.5708333333333329</v>
      </c>
      <c r="AF62" s="92">
        <f t="shared" si="17"/>
        <v>10.542606209559999</v>
      </c>
      <c r="AG62" s="92">
        <f t="shared" si="38"/>
        <v>0.77802581982897134</v>
      </c>
      <c r="AH62" s="92">
        <f t="shared" si="39"/>
        <v>3.9523577008928572</v>
      </c>
      <c r="AI62" s="95">
        <f t="shared" si="19"/>
        <v>4.7303835207218281</v>
      </c>
      <c r="AJ62" s="94">
        <f t="shared" si="20"/>
        <v>4.0333333333333341</v>
      </c>
      <c r="AK62" s="92">
        <f t="shared" si="40"/>
        <v>7.2321681946166718</v>
      </c>
      <c r="AL62" s="92">
        <f t="shared" si="41"/>
        <v>0.36612979756657482</v>
      </c>
      <c r="AM62" s="92">
        <f t="shared" si="48"/>
        <v>0.34846000000000005</v>
      </c>
      <c r="AN62" s="211">
        <f t="shared" si="42"/>
        <v>0.27732537878787877</v>
      </c>
      <c r="AO62" s="95">
        <f t="shared" si="24"/>
        <v>0.9919151763544537</v>
      </c>
      <c r="AP62" s="94">
        <f t="shared" si="43"/>
        <v>0.24517620372761711</v>
      </c>
      <c r="AQ62" s="230">
        <f t="shared" si="44"/>
        <v>0.98070481491046846</v>
      </c>
      <c r="AR62" s="230">
        <f t="shared" si="45"/>
        <v>2.2167935757072685</v>
      </c>
      <c r="AS62" s="92">
        <f t="shared" si="46"/>
        <v>3.6000000000000004E-2</v>
      </c>
      <c r="AT62" s="95">
        <f t="shared" si="47"/>
        <v>4.7519999999999999E-5</v>
      </c>
      <c r="AU62" s="94">
        <f t="shared" si="26"/>
        <v>10.181725626332103</v>
      </c>
      <c r="AV62" s="92">
        <f t="shared" si="27"/>
        <v>181.5</v>
      </c>
      <c r="AW62" s="95">
        <f t="shared" si="28"/>
        <v>94.688212664476652</v>
      </c>
    </row>
    <row r="63" spans="17:49" x14ac:dyDescent="0.25">
      <c r="Q63" s="32">
        <v>56</v>
      </c>
      <c r="R63" s="94">
        <f t="shared" si="0"/>
        <v>45</v>
      </c>
      <c r="S63" s="92">
        <f t="shared" si="32"/>
        <v>4.1066666666666665</v>
      </c>
      <c r="T63" s="92">
        <f t="shared" si="2"/>
        <v>14.4</v>
      </c>
      <c r="U63" s="95">
        <f t="shared" si="33"/>
        <v>12.833333333333332</v>
      </c>
      <c r="V63" s="94">
        <f>IF(Variable_Management!$B$23=3,2,IF((S63*R63/T63)&lt;((T63*(1-(T63/R63)))/(2*Lm*Fsw)),1,2))</f>
        <v>2</v>
      </c>
      <c r="W63" s="92">
        <f t="shared" si="34"/>
        <v>0.67999999999999994</v>
      </c>
      <c r="X63" s="95">
        <f t="shared" si="35"/>
        <v>0.32000000000000006</v>
      </c>
      <c r="Y63" s="94">
        <f t="shared" si="36"/>
        <v>7.4181818181818189</v>
      </c>
      <c r="Z63" s="92">
        <f t="shared" si="30"/>
        <v>16.542424242424243</v>
      </c>
      <c r="AA63" s="92">
        <f t="shared" si="31"/>
        <v>13.010773596078419</v>
      </c>
      <c r="AB63" s="92">
        <v>0</v>
      </c>
      <c r="AC63" s="92">
        <f t="shared" si="37"/>
        <v>1.0156813774104683</v>
      </c>
      <c r="AD63" s="95">
        <f t="shared" si="16"/>
        <v>1.0156813774104683</v>
      </c>
      <c r="AE63" s="94">
        <f t="shared" si="29"/>
        <v>8.7266666666666648</v>
      </c>
      <c r="AF63" s="92">
        <f t="shared" si="17"/>
        <v>10.72895876152573</v>
      </c>
      <c r="AG63" s="92">
        <f t="shared" si="38"/>
        <v>0.80577389274563804</v>
      </c>
      <c r="AH63" s="92">
        <f t="shared" si="39"/>
        <v>4.0242187500000002</v>
      </c>
      <c r="AI63" s="95">
        <f t="shared" si="19"/>
        <v>4.8299926427456379</v>
      </c>
      <c r="AJ63" s="94">
        <f t="shared" si="20"/>
        <v>4.1066666666666674</v>
      </c>
      <c r="AK63" s="92">
        <f t="shared" si="40"/>
        <v>7.3600049906159475</v>
      </c>
      <c r="AL63" s="92">
        <f t="shared" si="41"/>
        <v>0.3791877142332416</v>
      </c>
      <c r="AM63" s="92">
        <f t="shared" si="48"/>
        <v>0.34846000000000005</v>
      </c>
      <c r="AN63" s="211">
        <f t="shared" si="42"/>
        <v>0.28122121212121215</v>
      </c>
      <c r="AO63" s="95">
        <f t="shared" si="24"/>
        <v>1.0088689263544537</v>
      </c>
      <c r="AP63" s="94">
        <f t="shared" si="43"/>
        <v>0.25392034435261707</v>
      </c>
      <c r="AQ63" s="230">
        <f t="shared" si="44"/>
        <v>1.0156813774104683</v>
      </c>
      <c r="AR63" s="230">
        <f t="shared" si="45"/>
        <v>2.2167935757072685</v>
      </c>
      <c r="AS63" s="92">
        <f t="shared" si="46"/>
        <v>3.6000000000000004E-2</v>
      </c>
      <c r="AT63" s="95">
        <f t="shared" si="47"/>
        <v>4.7519999999999999E-5</v>
      </c>
      <c r="AU63" s="94">
        <f t="shared" si="26"/>
        <v>10.376985763980912</v>
      </c>
      <c r="AV63" s="92">
        <f t="shared" si="27"/>
        <v>184.79999999999998</v>
      </c>
      <c r="AW63" s="95">
        <f t="shared" si="28"/>
        <v>94.683294383627086</v>
      </c>
    </row>
    <row r="64" spans="17:49" x14ac:dyDescent="0.25">
      <c r="Q64" s="32">
        <v>57</v>
      </c>
      <c r="R64" s="94">
        <f t="shared" si="0"/>
        <v>45</v>
      </c>
      <c r="S64" s="92">
        <f t="shared" si="32"/>
        <v>4.18</v>
      </c>
      <c r="T64" s="92">
        <f t="shared" si="2"/>
        <v>14.4</v>
      </c>
      <c r="U64" s="95">
        <f t="shared" si="33"/>
        <v>13.0625</v>
      </c>
      <c r="V64" s="94">
        <f>IF(Variable_Management!$B$23=3,2,IF((S64*R64/T64)&lt;((T64*(1-(T64/R64)))/(2*Lm*Fsw)),1,2))</f>
        <v>2</v>
      </c>
      <c r="W64" s="92">
        <f t="shared" si="34"/>
        <v>0.67999999999999994</v>
      </c>
      <c r="X64" s="95">
        <f t="shared" si="35"/>
        <v>0.32000000000000006</v>
      </c>
      <c r="Y64" s="94">
        <f t="shared" si="36"/>
        <v>7.4181818181818189</v>
      </c>
      <c r="Z64" s="92">
        <f t="shared" si="30"/>
        <v>16.771590909090911</v>
      </c>
      <c r="AA64" s="92">
        <f t="shared" si="31"/>
        <v>13.236868639295585</v>
      </c>
      <c r="AB64" s="92">
        <v>0</v>
      </c>
      <c r="AC64" s="92">
        <f t="shared" si="37"/>
        <v>1.0512881482438017</v>
      </c>
      <c r="AD64" s="95">
        <f t="shared" si="16"/>
        <v>1.0512881482438017</v>
      </c>
      <c r="AE64" s="94">
        <f t="shared" si="29"/>
        <v>8.8824999999999985</v>
      </c>
      <c r="AF64" s="92">
        <f t="shared" si="17"/>
        <v>10.915401510448325</v>
      </c>
      <c r="AG64" s="92">
        <f t="shared" si="38"/>
        <v>0.83402193094008292</v>
      </c>
      <c r="AH64" s="92">
        <f t="shared" si="39"/>
        <v>4.0960797991071427</v>
      </c>
      <c r="AI64" s="95">
        <f t="shared" si="19"/>
        <v>4.9301017300472258</v>
      </c>
      <c r="AJ64" s="94">
        <f t="shared" si="20"/>
        <v>4.1800000000000006</v>
      </c>
      <c r="AK64" s="92">
        <f t="shared" si="40"/>
        <v>7.4879036612171674</v>
      </c>
      <c r="AL64" s="92">
        <f t="shared" si="41"/>
        <v>0.3924809086776862</v>
      </c>
      <c r="AM64" s="92">
        <f t="shared" si="48"/>
        <v>0.34846000000000005</v>
      </c>
      <c r="AN64" s="211">
        <f t="shared" si="42"/>
        <v>0.28511704545454553</v>
      </c>
      <c r="AO64" s="95">
        <f t="shared" si="24"/>
        <v>1.0260579541322317</v>
      </c>
      <c r="AP64" s="94">
        <f t="shared" si="43"/>
        <v>0.26282203706095042</v>
      </c>
      <c r="AQ64" s="230">
        <f t="shared" si="44"/>
        <v>1.0512881482438017</v>
      </c>
      <c r="AR64" s="230">
        <f t="shared" si="45"/>
        <v>2.2167935757072685</v>
      </c>
      <c r="AS64" s="92">
        <f t="shared" si="46"/>
        <v>3.6000000000000004E-2</v>
      </c>
      <c r="AT64" s="95">
        <f t="shared" si="47"/>
        <v>4.7519999999999999E-5</v>
      </c>
      <c r="AU64" s="94">
        <f t="shared" si="26"/>
        <v>10.57439911343528</v>
      </c>
      <c r="AV64" s="92">
        <f t="shared" si="27"/>
        <v>188.1</v>
      </c>
      <c r="AW64" s="95">
        <f t="shared" si="28"/>
        <v>94.677523042413881</v>
      </c>
    </row>
    <row r="65" spans="17:49" x14ac:dyDescent="0.25">
      <c r="Q65" s="32">
        <v>58</v>
      </c>
      <c r="R65" s="94">
        <f t="shared" si="0"/>
        <v>45</v>
      </c>
      <c r="S65" s="92">
        <f t="shared" si="32"/>
        <v>4.253333333333333</v>
      </c>
      <c r="T65" s="92">
        <f t="shared" si="2"/>
        <v>14.4</v>
      </c>
      <c r="U65" s="95">
        <f t="shared" si="33"/>
        <v>13.291666666666664</v>
      </c>
      <c r="V65" s="94">
        <f>IF(Variable_Management!$B$23=3,2,IF((S65*R65/T65)&lt;((T65*(1-(T65/R65)))/(2*Lm*Fsw)),1,2))</f>
        <v>2</v>
      </c>
      <c r="W65" s="92">
        <f t="shared" si="34"/>
        <v>0.67999999999999994</v>
      </c>
      <c r="X65" s="95">
        <f t="shared" si="35"/>
        <v>0.32000000000000006</v>
      </c>
      <c r="Y65" s="94">
        <f t="shared" si="36"/>
        <v>7.4181818181818189</v>
      </c>
      <c r="Z65" s="92">
        <f t="shared" si="30"/>
        <v>17.000757575757575</v>
      </c>
      <c r="AA65" s="92">
        <f t="shared" si="31"/>
        <v>13.463067551703983</v>
      </c>
      <c r="AB65" s="92">
        <v>0</v>
      </c>
      <c r="AC65" s="92">
        <f t="shared" si="37"/>
        <v>1.087525127410468</v>
      </c>
      <c r="AD65" s="95">
        <f t="shared" si="16"/>
        <v>1.087525127410468</v>
      </c>
      <c r="AE65" s="94">
        <f t="shared" si="29"/>
        <v>9.0383333333333304</v>
      </c>
      <c r="AF65" s="92">
        <f t="shared" si="17"/>
        <v>11.101929912100257</v>
      </c>
      <c r="AG65" s="92">
        <f t="shared" si="38"/>
        <v>0.86276993441230498</v>
      </c>
      <c r="AH65" s="92">
        <f t="shared" si="39"/>
        <v>4.1679408482142843</v>
      </c>
      <c r="AI65" s="95">
        <f t="shared" si="19"/>
        <v>5.0307107826265893</v>
      </c>
      <c r="AJ65" s="94">
        <f t="shared" si="20"/>
        <v>4.253333333333333</v>
      </c>
      <c r="AK65" s="92">
        <f t="shared" si="40"/>
        <v>7.6158610891059668</v>
      </c>
      <c r="AL65" s="92">
        <f t="shared" si="41"/>
        <v>0.40600938089990829</v>
      </c>
      <c r="AM65" s="92">
        <f t="shared" si="48"/>
        <v>0.34846000000000005</v>
      </c>
      <c r="AN65" s="211">
        <f t="shared" si="42"/>
        <v>0.28901287878787879</v>
      </c>
      <c r="AO65" s="95">
        <f t="shared" si="24"/>
        <v>1.0434822596877871</v>
      </c>
      <c r="AP65" s="94">
        <f t="shared" si="43"/>
        <v>0.27188128185261701</v>
      </c>
      <c r="AQ65" s="230">
        <f t="shared" si="44"/>
        <v>1.087525127410468</v>
      </c>
      <c r="AR65" s="230">
        <f t="shared" si="45"/>
        <v>2.2167935757072685</v>
      </c>
      <c r="AS65" s="92">
        <f t="shared" si="46"/>
        <v>3.6000000000000004E-2</v>
      </c>
      <c r="AT65" s="95">
        <f t="shared" si="47"/>
        <v>4.7519999999999999E-5</v>
      </c>
      <c r="AU65" s="94">
        <f t="shared" si="26"/>
        <v>10.773965674695198</v>
      </c>
      <c r="AV65" s="92">
        <f t="shared" si="27"/>
        <v>191.39999999999998</v>
      </c>
      <c r="AW65" s="95">
        <f t="shared" si="28"/>
        <v>94.670943096585006</v>
      </c>
    </row>
    <row r="66" spans="17:49" x14ac:dyDescent="0.25">
      <c r="Q66" s="32">
        <v>59</v>
      </c>
      <c r="R66" s="94">
        <f t="shared" si="0"/>
        <v>45</v>
      </c>
      <c r="S66" s="92">
        <f t="shared" si="32"/>
        <v>4.3266666666666671</v>
      </c>
      <c r="T66" s="92">
        <f t="shared" si="2"/>
        <v>14.4</v>
      </c>
      <c r="U66" s="95">
        <f t="shared" si="33"/>
        <v>13.520833333333334</v>
      </c>
      <c r="V66" s="94">
        <f>IF(Variable_Management!$B$23=3,2,IF((S66*R66/T66)&lt;((T66*(1-(T66/R66)))/(2*Lm*Fsw)),1,2))</f>
        <v>2</v>
      </c>
      <c r="W66" s="92">
        <f t="shared" si="34"/>
        <v>0.67999999999999994</v>
      </c>
      <c r="X66" s="95">
        <f t="shared" si="35"/>
        <v>0.32000000000000006</v>
      </c>
      <c r="Y66" s="94">
        <f t="shared" si="36"/>
        <v>7.4181818181818189</v>
      </c>
      <c r="Z66" s="92">
        <f t="shared" si="30"/>
        <v>17.229924242424243</v>
      </c>
      <c r="AA66" s="92">
        <f t="shared" si="31"/>
        <v>13.689365184395685</v>
      </c>
      <c r="AB66" s="92">
        <v>0</v>
      </c>
      <c r="AC66" s="92">
        <f t="shared" si="37"/>
        <v>1.1243923149104682</v>
      </c>
      <c r="AD66" s="95">
        <f t="shared" si="16"/>
        <v>1.1243923149104682</v>
      </c>
      <c r="AE66" s="94">
        <f t="shared" si="29"/>
        <v>9.1941666666666659</v>
      </c>
      <c r="AF66" s="92">
        <f t="shared" si="17"/>
        <v>11.288539720583278</v>
      </c>
      <c r="AG66" s="92">
        <f t="shared" si="38"/>
        <v>0.89201790316230478</v>
      </c>
      <c r="AH66" s="92">
        <f t="shared" si="39"/>
        <v>4.2398018973214286</v>
      </c>
      <c r="AI66" s="95">
        <f t="shared" si="19"/>
        <v>5.1318198004837337</v>
      </c>
      <c r="AJ66" s="94">
        <f t="shared" si="20"/>
        <v>4.326666666666668</v>
      </c>
      <c r="AK66" s="92">
        <f t="shared" si="40"/>
        <v>7.7438743616201773</v>
      </c>
      <c r="AL66" s="92">
        <f t="shared" si="41"/>
        <v>0.41977313089990814</v>
      </c>
      <c r="AM66" s="92">
        <f t="shared" si="48"/>
        <v>0.34846000000000005</v>
      </c>
      <c r="AN66" s="211">
        <f t="shared" si="42"/>
        <v>0.29290871212121217</v>
      </c>
      <c r="AO66" s="95">
        <f t="shared" si="24"/>
        <v>1.0611418430211204</v>
      </c>
      <c r="AP66" s="94">
        <f t="shared" si="43"/>
        <v>0.28109807872761705</v>
      </c>
      <c r="AQ66" s="230">
        <f t="shared" si="44"/>
        <v>1.1243923149104682</v>
      </c>
      <c r="AR66" s="230">
        <f t="shared" si="45"/>
        <v>2.2167935757072685</v>
      </c>
      <c r="AS66" s="92">
        <f t="shared" si="46"/>
        <v>3.6000000000000004E-2</v>
      </c>
      <c r="AT66" s="95">
        <f t="shared" si="47"/>
        <v>4.7519999999999999E-5</v>
      </c>
      <c r="AU66" s="94">
        <f t="shared" si="26"/>
        <v>10.975685447760675</v>
      </c>
      <c r="AV66" s="92">
        <f t="shared" si="27"/>
        <v>194.70000000000002</v>
      </c>
      <c r="AW66" s="95">
        <f t="shared" si="28"/>
        <v>94.663596027957141</v>
      </c>
    </row>
    <row r="67" spans="17:49" x14ac:dyDescent="0.25">
      <c r="Q67" s="32">
        <v>60</v>
      </c>
      <c r="R67" s="94">
        <f t="shared" si="0"/>
        <v>45</v>
      </c>
      <c r="S67" s="92">
        <f t="shared" si="32"/>
        <v>4.4000000000000004</v>
      </c>
      <c r="T67" s="92">
        <f t="shared" si="2"/>
        <v>14.4</v>
      </c>
      <c r="U67" s="95">
        <f t="shared" si="33"/>
        <v>13.750000000000002</v>
      </c>
      <c r="V67" s="94">
        <f>IF(Variable_Management!$B$23=3,2,IF((S67*R67/T67)&lt;((T67*(1-(T67/R67)))/(2*Lm*Fsw)),1,2))</f>
        <v>2</v>
      </c>
      <c r="W67" s="92">
        <f t="shared" si="34"/>
        <v>0.67999999999999994</v>
      </c>
      <c r="X67" s="95">
        <f t="shared" si="35"/>
        <v>0.32000000000000006</v>
      </c>
      <c r="Y67" s="94">
        <f t="shared" si="36"/>
        <v>7.4181818181818189</v>
      </c>
      <c r="Z67" s="92">
        <f t="shared" si="30"/>
        <v>17.459090909090911</v>
      </c>
      <c r="AA67" s="92">
        <f t="shared" si="31"/>
        <v>13.915756721212361</v>
      </c>
      <c r="AB67" s="92">
        <v>0</v>
      </c>
      <c r="AC67" s="92">
        <f t="shared" si="37"/>
        <v>1.161889710743802</v>
      </c>
      <c r="AD67" s="95">
        <f t="shared" si="16"/>
        <v>1.161889710743802</v>
      </c>
      <c r="AE67" s="94">
        <f t="shared" si="29"/>
        <v>9.35</v>
      </c>
      <c r="AF67" s="92">
        <f t="shared" si="17"/>
        <v>11.47522696439149</v>
      </c>
      <c r="AG67" s="92">
        <f t="shared" si="38"/>
        <v>0.92176583719008276</v>
      </c>
      <c r="AH67" s="92">
        <f t="shared" si="39"/>
        <v>4.3116629464285721</v>
      </c>
      <c r="AI67" s="95">
        <f t="shared" si="19"/>
        <v>5.2334287836186544</v>
      </c>
      <c r="AJ67" s="94">
        <f t="shared" si="20"/>
        <v>4.4000000000000012</v>
      </c>
      <c r="AK67" s="92">
        <f t="shared" si="40"/>
        <v>7.8719407543292297</v>
      </c>
      <c r="AL67" s="92">
        <f t="shared" si="41"/>
        <v>0.43377215867768609</v>
      </c>
      <c r="AM67" s="92">
        <f t="shared" si="48"/>
        <v>0.34846000000000005</v>
      </c>
      <c r="AN67" s="211">
        <f t="shared" si="42"/>
        <v>0.29680454545454549</v>
      </c>
      <c r="AO67" s="95">
        <f t="shared" si="24"/>
        <v>1.0790367041322315</v>
      </c>
      <c r="AP67" s="94">
        <f t="shared" si="43"/>
        <v>0.2904724276859505</v>
      </c>
      <c r="AQ67" s="230">
        <f t="shared" si="44"/>
        <v>1.161889710743802</v>
      </c>
      <c r="AR67" s="230">
        <f t="shared" si="45"/>
        <v>2.2167935757072685</v>
      </c>
      <c r="AS67" s="92">
        <f t="shared" si="46"/>
        <v>3.6000000000000004E-2</v>
      </c>
      <c r="AT67" s="95">
        <f t="shared" si="47"/>
        <v>4.7519999999999999E-5</v>
      </c>
      <c r="AU67" s="94">
        <f t="shared" si="26"/>
        <v>11.179558432631708</v>
      </c>
      <c r="AV67" s="92">
        <f t="shared" si="27"/>
        <v>198.00000000000003</v>
      </c>
      <c r="AW67" s="95">
        <f t="shared" si="28"/>
        <v>94.655520588914442</v>
      </c>
    </row>
    <row r="68" spans="17:49" x14ac:dyDescent="0.25">
      <c r="Q68" s="32">
        <v>61</v>
      </c>
      <c r="R68" s="94">
        <f t="shared" si="0"/>
        <v>45</v>
      </c>
      <c r="S68" s="92">
        <f t="shared" si="32"/>
        <v>4.4733333333333336</v>
      </c>
      <c r="T68" s="92">
        <f t="shared" si="2"/>
        <v>14.4</v>
      </c>
      <c r="U68" s="95">
        <f t="shared" si="33"/>
        <v>13.979166666666668</v>
      </c>
      <c r="V68" s="94">
        <f>IF(Variable_Management!$B$23=3,2,IF((S68*R68/T68)&lt;((T68*(1-(T68/R68)))/(2*Lm*Fsw)),1,2))</f>
        <v>2</v>
      </c>
      <c r="W68" s="92">
        <f t="shared" si="34"/>
        <v>0.67999999999999994</v>
      </c>
      <c r="X68" s="95">
        <f t="shared" si="35"/>
        <v>0.32000000000000006</v>
      </c>
      <c r="Y68" s="94">
        <f t="shared" si="36"/>
        <v>7.4181818181818189</v>
      </c>
      <c r="Z68" s="92">
        <f t="shared" si="30"/>
        <v>17.688257575757579</v>
      </c>
      <c r="AA68" s="92">
        <f t="shared" si="31"/>
        <v>14.142237652451305</v>
      </c>
      <c r="AB68" s="92">
        <v>0</v>
      </c>
      <c r="AC68" s="92">
        <f t="shared" si="37"/>
        <v>1.2000173149104685</v>
      </c>
      <c r="AD68" s="95">
        <f t="shared" si="16"/>
        <v>1.2000173149104685</v>
      </c>
      <c r="AE68" s="94">
        <f t="shared" si="29"/>
        <v>9.5058333333333334</v>
      </c>
      <c r="AF68" s="92">
        <f t="shared" si="17"/>
        <v>11.661987924728775</v>
      </c>
      <c r="AG68" s="92">
        <f t="shared" si="38"/>
        <v>0.95201373649563825</v>
      </c>
      <c r="AH68" s="92">
        <f t="shared" si="39"/>
        <v>4.3835239955357146</v>
      </c>
      <c r="AI68" s="95">
        <f t="shared" si="19"/>
        <v>5.3355377320313533</v>
      </c>
      <c r="AJ68" s="94">
        <f t="shared" si="20"/>
        <v>4.4733333333333345</v>
      </c>
      <c r="AK68" s="92">
        <f t="shared" si="40"/>
        <v>8.0000577161600326</v>
      </c>
      <c r="AL68" s="92">
        <f t="shared" si="41"/>
        <v>0.4480064642332417</v>
      </c>
      <c r="AM68" s="92">
        <f t="shared" si="48"/>
        <v>0.34846000000000005</v>
      </c>
      <c r="AN68" s="211">
        <f t="shared" si="42"/>
        <v>0.30070037878787886</v>
      </c>
      <c r="AO68" s="95">
        <f t="shared" si="24"/>
        <v>1.0971668430211206</v>
      </c>
      <c r="AP68" s="94">
        <f t="shared" si="43"/>
        <v>0.30000432872761712</v>
      </c>
      <c r="AQ68" s="230">
        <f t="shared" si="44"/>
        <v>1.2000173149104685</v>
      </c>
      <c r="AR68" s="230">
        <f t="shared" si="45"/>
        <v>2.2167935757072685</v>
      </c>
      <c r="AS68" s="92">
        <f t="shared" si="46"/>
        <v>3.6000000000000004E-2</v>
      </c>
      <c r="AT68" s="95">
        <f t="shared" si="47"/>
        <v>4.7519999999999999E-5</v>
      </c>
      <c r="AU68" s="94">
        <f t="shared" si="26"/>
        <v>11.385584629308298</v>
      </c>
      <c r="AV68" s="92">
        <f t="shared" si="27"/>
        <v>201.3</v>
      </c>
      <c r="AW68" s="95">
        <f t="shared" si="28"/>
        <v>94.646753023176274</v>
      </c>
    </row>
    <row r="69" spans="17:49" x14ac:dyDescent="0.25">
      <c r="Q69" s="32">
        <v>62</v>
      </c>
      <c r="R69" s="94">
        <f t="shared" si="0"/>
        <v>45</v>
      </c>
      <c r="S69" s="92">
        <f t="shared" si="32"/>
        <v>4.5466666666666669</v>
      </c>
      <c r="T69" s="92">
        <f t="shared" si="2"/>
        <v>14.4</v>
      </c>
      <c r="U69" s="95">
        <f t="shared" si="33"/>
        <v>14.208333333333334</v>
      </c>
      <c r="V69" s="94">
        <f>IF(Variable_Management!$B$23=3,2,IF((S69*R69/T69)&lt;((T69*(1-(T69/R69)))/(2*Lm*Fsw)),1,2))</f>
        <v>2</v>
      </c>
      <c r="W69" s="92">
        <f t="shared" si="34"/>
        <v>0.67999999999999994</v>
      </c>
      <c r="X69" s="95">
        <f t="shared" si="35"/>
        <v>0.32000000000000006</v>
      </c>
      <c r="Y69" s="94">
        <f t="shared" si="36"/>
        <v>7.4181818181818189</v>
      </c>
      <c r="Z69" s="92">
        <f t="shared" si="30"/>
        <v>17.917424242424243</v>
      </c>
      <c r="AA69" s="92">
        <f t="shared" si="31"/>
        <v>14.368803751011358</v>
      </c>
      <c r="AB69" s="92">
        <v>0</v>
      </c>
      <c r="AC69" s="92">
        <f t="shared" si="37"/>
        <v>1.2387751274104684</v>
      </c>
      <c r="AD69" s="95">
        <f t="shared" si="16"/>
        <v>1.2387751274104684</v>
      </c>
      <c r="AE69" s="94">
        <f t="shared" si="29"/>
        <v>9.6616666666666671</v>
      </c>
      <c r="AF69" s="92">
        <f t="shared" si="17"/>
        <v>11.848819115838213</v>
      </c>
      <c r="AG69" s="92">
        <f t="shared" si="38"/>
        <v>0.98276160107897137</v>
      </c>
      <c r="AH69" s="92">
        <f t="shared" si="39"/>
        <v>4.4553850446428571</v>
      </c>
      <c r="AI69" s="95">
        <f t="shared" si="19"/>
        <v>5.4381466457218286</v>
      </c>
      <c r="AJ69" s="94">
        <f t="shared" si="20"/>
        <v>4.5466666666666677</v>
      </c>
      <c r="AK69" s="92">
        <f t="shared" si="40"/>
        <v>8.1282228559030649</v>
      </c>
      <c r="AL69" s="92">
        <f t="shared" si="41"/>
        <v>0.46247604756657484</v>
      </c>
      <c r="AM69" s="92">
        <f t="shared" si="48"/>
        <v>0.34846000000000005</v>
      </c>
      <c r="AN69" s="211">
        <f t="shared" si="42"/>
        <v>0.30459621212121213</v>
      </c>
      <c r="AO69" s="95">
        <f t="shared" si="24"/>
        <v>1.115532259687787</v>
      </c>
      <c r="AP69" s="94">
        <f t="shared" si="43"/>
        <v>0.30969378185261709</v>
      </c>
      <c r="AQ69" s="230">
        <f t="shared" si="44"/>
        <v>1.2387751274104684</v>
      </c>
      <c r="AR69" s="230">
        <f t="shared" si="45"/>
        <v>2.2167935757072685</v>
      </c>
      <c r="AS69" s="92">
        <f t="shared" si="46"/>
        <v>3.6000000000000004E-2</v>
      </c>
      <c r="AT69" s="95">
        <f t="shared" si="47"/>
        <v>4.7519999999999999E-5</v>
      </c>
      <c r="AU69" s="94">
        <f t="shared" si="26"/>
        <v>11.593764037790439</v>
      </c>
      <c r="AV69" s="92">
        <f t="shared" si="27"/>
        <v>204.60000000000002</v>
      </c>
      <c r="AW69" s="95">
        <f t="shared" si="28"/>
        <v>94.637327265478461</v>
      </c>
    </row>
    <row r="70" spans="17:49" x14ac:dyDescent="0.25">
      <c r="Q70" s="32">
        <v>63</v>
      </c>
      <c r="R70" s="94">
        <f t="shared" si="0"/>
        <v>45</v>
      </c>
      <c r="S70" s="92">
        <f t="shared" si="32"/>
        <v>4.62</v>
      </c>
      <c r="T70" s="92">
        <f t="shared" si="2"/>
        <v>14.4</v>
      </c>
      <c r="U70" s="95">
        <f t="shared" si="33"/>
        <v>14.4375</v>
      </c>
      <c r="V70" s="94">
        <f>IF(Variable_Management!$B$23=3,2,IF((S70*R70/T70)&lt;((T70*(1-(T70/R70)))/(2*Lm*Fsw)),1,2))</f>
        <v>2</v>
      </c>
      <c r="W70" s="92">
        <f t="shared" si="34"/>
        <v>0.67999999999999994</v>
      </c>
      <c r="X70" s="95">
        <f t="shared" si="35"/>
        <v>0.32000000000000006</v>
      </c>
      <c r="Y70" s="94">
        <f t="shared" si="36"/>
        <v>7.4181818181818189</v>
      </c>
      <c r="Z70" s="92">
        <f t="shared" si="30"/>
        <v>18.146590909090911</v>
      </c>
      <c r="AA70" s="92">
        <f t="shared" si="31"/>
        <v>14.595451050720117</v>
      </c>
      <c r="AB70" s="92">
        <v>0</v>
      </c>
      <c r="AC70" s="92">
        <f t="shared" si="37"/>
        <v>1.2781631482438018</v>
      </c>
      <c r="AD70" s="95">
        <f t="shared" si="16"/>
        <v>1.2781631482438018</v>
      </c>
      <c r="AE70" s="94">
        <f t="shared" si="29"/>
        <v>9.817499999999999</v>
      </c>
      <c r="AF70" s="92">
        <f t="shared" si="17"/>
        <v>12.035717267130261</v>
      </c>
      <c r="AG70" s="92">
        <f t="shared" si="38"/>
        <v>1.0140094309400827</v>
      </c>
      <c r="AH70" s="92">
        <f t="shared" si="39"/>
        <v>4.5272460937499996</v>
      </c>
      <c r="AI70" s="95">
        <f t="shared" si="19"/>
        <v>5.5412555246900821</v>
      </c>
      <c r="AJ70" s="94">
        <f t="shared" si="20"/>
        <v>4.620000000000001</v>
      </c>
      <c r="AK70" s="92">
        <f t="shared" si="40"/>
        <v>8.2564339299524132</v>
      </c>
      <c r="AL70" s="92">
        <f t="shared" si="41"/>
        <v>0.47718090867768614</v>
      </c>
      <c r="AM70" s="92">
        <f t="shared" si="48"/>
        <v>0.34846000000000005</v>
      </c>
      <c r="AN70" s="211">
        <f t="shared" si="42"/>
        <v>0.3084920454545455</v>
      </c>
      <c r="AO70" s="95">
        <f t="shared" si="24"/>
        <v>1.1341329541322316</v>
      </c>
      <c r="AP70" s="94">
        <f t="shared" si="43"/>
        <v>0.31954078706095046</v>
      </c>
      <c r="AQ70" s="230">
        <f t="shared" si="44"/>
        <v>1.2781631482438018</v>
      </c>
      <c r="AR70" s="230">
        <f t="shared" si="45"/>
        <v>2.2167935757072685</v>
      </c>
      <c r="AS70" s="92">
        <f t="shared" si="46"/>
        <v>3.6000000000000004E-2</v>
      </c>
      <c r="AT70" s="95">
        <f t="shared" si="47"/>
        <v>4.7519999999999999E-5</v>
      </c>
      <c r="AU70" s="94">
        <f t="shared" si="26"/>
        <v>11.804096658078137</v>
      </c>
      <c r="AV70" s="92">
        <f t="shared" si="27"/>
        <v>207.9</v>
      </c>
      <c r="AW70" s="95">
        <f t="shared" si="28"/>
        <v>94.627275122480469</v>
      </c>
    </row>
    <row r="71" spans="17:49" x14ac:dyDescent="0.25">
      <c r="Q71" s="32">
        <v>64</v>
      </c>
      <c r="R71" s="94">
        <f t="shared" ref="R71:R134" si="49">VOUT</f>
        <v>45</v>
      </c>
      <c r="S71" s="92">
        <f t="shared" ref="S71:S102" si="50">Q71*$O$12</f>
        <v>4.6933333333333334</v>
      </c>
      <c r="T71" s="92">
        <f t="shared" ref="T71:T134" si="51">VIN_var</f>
        <v>14.4</v>
      </c>
      <c r="U71" s="95">
        <f t="shared" ref="U71:U102" si="52">(R71*S71)/(T71*EFF_est)</f>
        <v>14.666666666666666</v>
      </c>
      <c r="V71" s="94">
        <f>IF(Variable_Management!$B$23=3,2,IF((S71*R71/T71)&lt;((T71*(1-(T71/R71)))/(2*Lm*Fsw)),1,2))</f>
        <v>2</v>
      </c>
      <c r="W71" s="92">
        <f t="shared" ref="W71:W102" si="53">CHOOSE(V71,SQRT((2*S71*Lm*Fsw*(R71-T71))/((T71)^2)),1-(T71/R71))</f>
        <v>0.67999999999999994</v>
      </c>
      <c r="X71" s="95">
        <f t="shared" ref="X71:X102" si="54">CHOOSE(V71,(Lm*Z71*Fsw)/(R71-T71),1-W71)</f>
        <v>0.32000000000000006</v>
      </c>
      <c r="Y71" s="94">
        <f t="shared" ref="Y71:Y102" si="55">(T71*W71)/(Lm*Fsw)</f>
        <v>7.4181818181818189</v>
      </c>
      <c r="Z71" s="92">
        <f t="shared" si="30"/>
        <v>18.375757575757575</v>
      </c>
      <c r="AA71" s="92">
        <f t="shared" si="31"/>
        <v>14.822175826614595</v>
      </c>
      <c r="AB71" s="92">
        <v>0</v>
      </c>
      <c r="AC71" s="92">
        <f t="shared" ref="AC71:AC102" si="56">(AA71^2)*Rdcr</f>
        <v>1.3181813774104683</v>
      </c>
      <c r="AD71" s="95">
        <f t="shared" si="16"/>
        <v>1.3181813774104683</v>
      </c>
      <c r="AE71" s="94">
        <f t="shared" si="29"/>
        <v>9.9733333333333327</v>
      </c>
      <c r="AF71" s="92">
        <f t="shared" si="17"/>
        <v>12.222679306921746</v>
      </c>
      <c r="AG71" s="92">
        <f t="shared" ref="AG71:AG102" si="57">(AF71^2)*RDS_on</f>
        <v>1.0457572260789716</v>
      </c>
      <c r="AH71" s="92">
        <f t="shared" ref="AH71:AH102" si="58">((R71*U71)/2)*Fsw*(tr_sw+tf_sw)</f>
        <v>4.5991071428571431</v>
      </c>
      <c r="AI71" s="95">
        <f t="shared" si="19"/>
        <v>5.6448643689361147</v>
      </c>
      <c r="AJ71" s="94">
        <f t="shared" si="20"/>
        <v>4.6933333333333342</v>
      </c>
      <c r="AK71" s="92">
        <f t="shared" ref="AK71:AK102" si="59">CHOOSE(V71,Z71*SQRT(X71/3),SQRT(X71*((Z71^2)+((Y71^2)/3)-(Y71*Z71))))</f>
        <v>8.3846888311508003</v>
      </c>
      <c r="AL71" s="92">
        <f t="shared" ref="AL71:AL102" si="60">(AK71^2)*RDS_on_HS</f>
        <v>0.49212104756657482</v>
      </c>
      <c r="AM71" s="92">
        <f t="shared" si="48"/>
        <v>0.34846000000000005</v>
      </c>
      <c r="AN71" s="211">
        <f t="shared" ref="AN71:AN102" si="61">Vd_rect*t_dead*Fsw*Z71</f>
        <v>0.31238787878787883</v>
      </c>
      <c r="AO71" s="95">
        <f t="shared" si="24"/>
        <v>1.1529689263544538</v>
      </c>
      <c r="AP71" s="94">
        <f t="shared" ref="AP71:AP102" si="62">(AA71^2)*R_cs</f>
        <v>0.32954534435261706</v>
      </c>
      <c r="AQ71" s="230">
        <f t="shared" ref="AQ71:AQ102" si="63">Rdcr*AA71^2</f>
        <v>1.3181813774104683</v>
      </c>
      <c r="AR71" s="230">
        <f t="shared" ref="AR71:AR102" si="64">ABS(7.759*10^-3*Fsw^0.9458*(0.00787*Y71)^2.304)</f>
        <v>2.2167935757072685</v>
      </c>
      <c r="AS71" s="92">
        <f t="shared" ref="AS71:AS102" si="65">(Qg_tot+Qg_tot_HS)*Vcc*Fsw</f>
        <v>3.6000000000000004E-2</v>
      </c>
      <c r="AT71" s="95">
        <f t="shared" ref="AT71:AT102" si="66">IQ*T71</f>
        <v>4.7519999999999999E-5</v>
      </c>
      <c r="AU71" s="94">
        <f t="shared" si="26"/>
        <v>12.016582490171391</v>
      </c>
      <c r="AV71" s="92">
        <f t="shared" si="27"/>
        <v>211.2</v>
      </c>
      <c r="AW71" s="95">
        <f t="shared" si="28"/>
        <v>94.616626436926794</v>
      </c>
    </row>
    <row r="72" spans="17:49" x14ac:dyDescent="0.25">
      <c r="Q72" s="32">
        <v>65</v>
      </c>
      <c r="R72" s="94">
        <f t="shared" si="49"/>
        <v>45</v>
      </c>
      <c r="S72" s="92">
        <f t="shared" si="50"/>
        <v>4.7666666666666666</v>
      </c>
      <c r="T72" s="92">
        <f t="shared" si="51"/>
        <v>14.4</v>
      </c>
      <c r="U72" s="95">
        <f t="shared" si="52"/>
        <v>14.895833333333332</v>
      </c>
      <c r="V72" s="94">
        <f>IF(Variable_Management!$B$23=3,2,IF((S72*R72/T72)&lt;((T72*(1-(T72/R72)))/(2*Lm*Fsw)),1,2))</f>
        <v>2</v>
      </c>
      <c r="W72" s="92">
        <f t="shared" si="53"/>
        <v>0.67999999999999994</v>
      </c>
      <c r="X72" s="95">
        <f t="shared" si="54"/>
        <v>0.32000000000000006</v>
      </c>
      <c r="Y72" s="94">
        <f t="shared" si="55"/>
        <v>7.4181818181818189</v>
      </c>
      <c r="Z72" s="92">
        <f t="shared" si="30"/>
        <v>18.604924242424243</v>
      </c>
      <c r="AA72" s="92">
        <f t="shared" si="31"/>
        <v>15.048974576974052</v>
      </c>
      <c r="AB72" s="92">
        <v>0</v>
      </c>
      <c r="AC72" s="92">
        <f t="shared" si="56"/>
        <v>1.3588298149104683</v>
      </c>
      <c r="AD72" s="95">
        <f t="shared" ref="AD72:AD135" si="67">AB72+AC72</f>
        <v>1.3588298149104683</v>
      </c>
      <c r="AE72" s="94">
        <f t="shared" si="29"/>
        <v>10.129166666666665</v>
      </c>
      <c r="AF72" s="92">
        <f t="shared" ref="AF72:AF135" si="68">CHOOSE(V72,Z72*SQRT(W72/3),SQRT(W72*((Z72^2)+((Y72^2)/3)-(Z72*Y72))))</f>
        <v>12.409702347619774</v>
      </c>
      <c r="AG72" s="92">
        <f t="shared" si="57"/>
        <v>1.078004986495638</v>
      </c>
      <c r="AH72" s="92">
        <f t="shared" si="58"/>
        <v>4.6709681919642856</v>
      </c>
      <c r="AI72" s="95">
        <f t="shared" ref="AI72:AI135" si="69">AG72+AH72</f>
        <v>5.7489731784599236</v>
      </c>
      <c r="AJ72" s="94">
        <f t="shared" ref="AJ72:AJ135" si="70">X72*U72</f>
        <v>4.7666666666666675</v>
      </c>
      <c r="AK72" s="92">
        <f t="shared" si="59"/>
        <v>8.5129855786258481</v>
      </c>
      <c r="AL72" s="92">
        <f t="shared" si="60"/>
        <v>0.50729646423324171</v>
      </c>
      <c r="AM72" s="92">
        <f t="shared" ref="AM72:AM103" si="71">CHOOSE(V72,(R72+Vd_rect)*Qrr*Fsw,(R72+Vd_rect)*Qrr*Fsw)</f>
        <v>0.34846000000000005</v>
      </c>
      <c r="AN72" s="211">
        <f t="shared" si="61"/>
        <v>0.31628371212121215</v>
      </c>
      <c r="AO72" s="95">
        <f t="shared" ref="AO72:AO135" si="72">AL72+AM72+AN72</f>
        <v>1.1720401763544539</v>
      </c>
      <c r="AP72" s="94">
        <f t="shared" si="62"/>
        <v>0.33970745372761707</v>
      </c>
      <c r="AQ72" s="230">
        <f t="shared" si="63"/>
        <v>1.3588298149104683</v>
      </c>
      <c r="AR72" s="230">
        <f t="shared" si="64"/>
        <v>2.2167935757072685</v>
      </c>
      <c r="AS72" s="92">
        <f t="shared" si="65"/>
        <v>3.6000000000000004E-2</v>
      </c>
      <c r="AT72" s="95">
        <f t="shared" si="66"/>
        <v>4.7519999999999999E-5</v>
      </c>
      <c r="AU72" s="94">
        <f t="shared" ref="AU72:AU135" si="73">AP72+AO72+AI72+AD72+AS72+AT72+AQ72+AR72</f>
        <v>12.231221534070201</v>
      </c>
      <c r="AV72" s="92">
        <f t="shared" ref="AV72:AV135" si="74">R72*S72</f>
        <v>214.5</v>
      </c>
      <c r="AW72" s="95">
        <f t="shared" ref="AW72:AW135" si="75">(AV72/(AV72+AU72))*100</f>
        <v>94.605409236842902</v>
      </c>
    </row>
    <row r="73" spans="17:49" x14ac:dyDescent="0.25">
      <c r="Q73" s="32">
        <v>66</v>
      </c>
      <c r="R73" s="94">
        <f t="shared" si="49"/>
        <v>45</v>
      </c>
      <c r="S73" s="92">
        <f t="shared" si="50"/>
        <v>4.84</v>
      </c>
      <c r="T73" s="92">
        <f t="shared" si="51"/>
        <v>14.4</v>
      </c>
      <c r="U73" s="95">
        <f t="shared" si="52"/>
        <v>15.124999999999998</v>
      </c>
      <c r="V73" s="94">
        <f>IF(Variable_Management!$B$23=3,2,IF((S73*R73/T73)&lt;((T73*(1-(T73/R73)))/(2*Lm*Fsw)),1,2))</f>
        <v>2</v>
      </c>
      <c r="W73" s="92">
        <f t="shared" si="53"/>
        <v>0.67999999999999994</v>
      </c>
      <c r="X73" s="95">
        <f t="shared" si="54"/>
        <v>0.32000000000000006</v>
      </c>
      <c r="Y73" s="94">
        <f t="shared" si="55"/>
        <v>7.4181818181818189</v>
      </c>
      <c r="Z73" s="92">
        <f t="shared" si="30"/>
        <v>18.834090909090907</v>
      </c>
      <c r="AA73" s="92">
        <f t="shared" si="31"/>
        <v>15.275844006926979</v>
      </c>
      <c r="AB73" s="92">
        <v>0</v>
      </c>
      <c r="AC73" s="92">
        <f t="shared" si="56"/>
        <v>1.4001084607438015</v>
      </c>
      <c r="AD73" s="95">
        <f t="shared" si="67"/>
        <v>1.4001084607438015</v>
      </c>
      <c r="AE73" s="94">
        <f t="shared" ref="AE73:AE136" si="76">U73*W73</f>
        <v>10.284999999999998</v>
      </c>
      <c r="AF73" s="92">
        <f t="shared" si="68"/>
        <v>12.596783672203689</v>
      </c>
      <c r="AG73" s="92">
        <f t="shared" si="57"/>
        <v>1.1107527121900822</v>
      </c>
      <c r="AH73" s="92">
        <f t="shared" si="58"/>
        <v>4.7428292410714272</v>
      </c>
      <c r="AI73" s="95">
        <f t="shared" si="69"/>
        <v>5.853581953261509</v>
      </c>
      <c r="AJ73" s="94">
        <f t="shared" si="70"/>
        <v>4.8400000000000007</v>
      </c>
      <c r="AK73" s="92">
        <f t="shared" si="59"/>
        <v>8.6413223085167594</v>
      </c>
      <c r="AL73" s="92">
        <f t="shared" si="60"/>
        <v>0.52270715867768591</v>
      </c>
      <c r="AM73" s="92">
        <f t="shared" si="71"/>
        <v>0.34846000000000005</v>
      </c>
      <c r="AN73" s="211">
        <f t="shared" si="61"/>
        <v>0.32017954545454547</v>
      </c>
      <c r="AO73" s="95">
        <f t="shared" si="72"/>
        <v>1.1913467041322314</v>
      </c>
      <c r="AP73" s="94">
        <f t="shared" si="62"/>
        <v>0.35002711518595037</v>
      </c>
      <c r="AQ73" s="230">
        <f t="shared" si="63"/>
        <v>1.4001084607438015</v>
      </c>
      <c r="AR73" s="230">
        <f t="shared" si="64"/>
        <v>2.2167935757072685</v>
      </c>
      <c r="AS73" s="92">
        <f t="shared" si="65"/>
        <v>3.6000000000000004E-2</v>
      </c>
      <c r="AT73" s="95">
        <f t="shared" si="66"/>
        <v>4.7519999999999999E-5</v>
      </c>
      <c r="AU73" s="94">
        <f t="shared" si="73"/>
        <v>12.448013789774564</v>
      </c>
      <c r="AV73" s="92">
        <f t="shared" si="74"/>
        <v>217.79999999999998</v>
      </c>
      <c r="AW73" s="95">
        <f t="shared" si="75"/>
        <v>94.593649871333923</v>
      </c>
    </row>
    <row r="74" spans="17:49" x14ac:dyDescent="0.25">
      <c r="Q74" s="32">
        <v>67</v>
      </c>
      <c r="R74" s="94">
        <f t="shared" si="49"/>
        <v>45</v>
      </c>
      <c r="S74" s="92">
        <f t="shared" si="50"/>
        <v>4.9133333333333331</v>
      </c>
      <c r="T74" s="92">
        <f t="shared" si="51"/>
        <v>14.4</v>
      </c>
      <c r="U74" s="95">
        <f t="shared" si="52"/>
        <v>15.354166666666666</v>
      </c>
      <c r="V74" s="94">
        <f>IF(Variable_Management!$B$23=3,2,IF((S74*R74/T74)&lt;((T74*(1-(T74/R74)))/(2*Lm*Fsw)),1,2))</f>
        <v>2</v>
      </c>
      <c r="W74" s="92">
        <f t="shared" si="53"/>
        <v>0.67999999999999994</v>
      </c>
      <c r="X74" s="95">
        <f t="shared" si="54"/>
        <v>0.32000000000000006</v>
      </c>
      <c r="Y74" s="94">
        <f t="shared" si="55"/>
        <v>7.4181818181818189</v>
      </c>
      <c r="Z74" s="92">
        <f t="shared" si="30"/>
        <v>19.063257575757575</v>
      </c>
      <c r="AA74" s="92">
        <f t="shared" si="31"/>
        <v>15.502781013474477</v>
      </c>
      <c r="AB74" s="92">
        <v>0</v>
      </c>
      <c r="AC74" s="92">
        <f t="shared" si="56"/>
        <v>1.4420173149104685</v>
      </c>
      <c r="AD74" s="95">
        <f t="shared" si="67"/>
        <v>1.4420173149104685</v>
      </c>
      <c r="AE74" s="94">
        <f t="shared" si="76"/>
        <v>10.440833333333332</v>
      </c>
      <c r="AF74" s="92">
        <f t="shared" si="68"/>
        <v>12.783920721875052</v>
      </c>
      <c r="AG74" s="92">
        <f t="shared" si="57"/>
        <v>1.1440004031623043</v>
      </c>
      <c r="AH74" s="92">
        <f t="shared" si="58"/>
        <v>4.8146902901785715</v>
      </c>
      <c r="AI74" s="95">
        <f t="shared" si="69"/>
        <v>5.9586906933408761</v>
      </c>
      <c r="AJ74" s="94">
        <f t="shared" si="70"/>
        <v>4.913333333333334</v>
      </c>
      <c r="AK74" s="92">
        <f t="shared" si="59"/>
        <v>8.7696972655022876</v>
      </c>
      <c r="AL74" s="92">
        <f t="shared" si="60"/>
        <v>0.53835313089990811</v>
      </c>
      <c r="AM74" s="92">
        <f t="shared" si="71"/>
        <v>0.34846000000000005</v>
      </c>
      <c r="AN74" s="211">
        <f t="shared" si="61"/>
        <v>0.32407537878787879</v>
      </c>
      <c r="AO74" s="95">
        <f t="shared" si="72"/>
        <v>1.2108885096877868</v>
      </c>
      <c r="AP74" s="94">
        <f t="shared" si="62"/>
        <v>0.36050432872761712</v>
      </c>
      <c r="AQ74" s="230">
        <f t="shared" si="63"/>
        <v>1.4420173149104685</v>
      </c>
      <c r="AR74" s="230">
        <f t="shared" si="64"/>
        <v>2.2167935757072685</v>
      </c>
      <c r="AS74" s="92">
        <f t="shared" si="65"/>
        <v>3.6000000000000004E-2</v>
      </c>
      <c r="AT74" s="95">
        <f t="shared" si="66"/>
        <v>4.7519999999999999E-5</v>
      </c>
      <c r="AU74" s="94">
        <f t="shared" si="73"/>
        <v>12.666959257284486</v>
      </c>
      <c r="AV74" s="92">
        <f t="shared" si="74"/>
        <v>221.1</v>
      </c>
      <c r="AW74" s="95">
        <f t="shared" si="75"/>
        <v>94.581373134368746</v>
      </c>
    </row>
    <row r="75" spans="17:49" x14ac:dyDescent="0.25">
      <c r="Q75" s="32">
        <v>68</v>
      </c>
      <c r="R75" s="94">
        <f t="shared" si="49"/>
        <v>45</v>
      </c>
      <c r="S75" s="92">
        <f t="shared" si="50"/>
        <v>4.9866666666666664</v>
      </c>
      <c r="T75" s="92">
        <f t="shared" si="51"/>
        <v>14.4</v>
      </c>
      <c r="U75" s="95">
        <f t="shared" si="52"/>
        <v>15.583333333333332</v>
      </c>
      <c r="V75" s="94">
        <f>IF(Variable_Management!$B$23=3,2,IF((S75*R75/T75)&lt;((T75*(1-(T75/R75)))/(2*Lm*Fsw)),1,2))</f>
        <v>2</v>
      </c>
      <c r="W75" s="92">
        <f t="shared" si="53"/>
        <v>0.67999999999999994</v>
      </c>
      <c r="X75" s="95">
        <f t="shared" si="54"/>
        <v>0.32000000000000006</v>
      </c>
      <c r="Y75" s="94">
        <f t="shared" si="55"/>
        <v>7.4181818181818189</v>
      </c>
      <c r="Z75" s="92">
        <f t="shared" si="30"/>
        <v>19.292424242424243</v>
      </c>
      <c r="AA75" s="92">
        <f t="shared" si="31"/>
        <v>15.729782671789991</v>
      </c>
      <c r="AB75" s="92">
        <v>0</v>
      </c>
      <c r="AC75" s="92">
        <f t="shared" si="56"/>
        <v>1.484556377410468</v>
      </c>
      <c r="AD75" s="95">
        <f t="shared" si="67"/>
        <v>1.484556377410468</v>
      </c>
      <c r="AE75" s="94">
        <f t="shared" si="76"/>
        <v>10.596666666666664</v>
      </c>
      <c r="AF75" s="92">
        <f t="shared" si="68"/>
        <v>12.971111084760102</v>
      </c>
      <c r="AG75" s="92">
        <f t="shared" si="57"/>
        <v>1.1777480594123049</v>
      </c>
      <c r="AH75" s="92">
        <f t="shared" si="58"/>
        <v>4.8865513392857141</v>
      </c>
      <c r="AI75" s="95">
        <f t="shared" si="69"/>
        <v>6.0642993986980187</v>
      </c>
      <c r="AJ75" s="94">
        <f t="shared" si="70"/>
        <v>4.9866666666666672</v>
      </c>
      <c r="AK75" s="92">
        <f t="shared" si="59"/>
        <v>8.8981087950506836</v>
      </c>
      <c r="AL75" s="92">
        <f t="shared" si="60"/>
        <v>0.55423438089990829</v>
      </c>
      <c r="AM75" s="92">
        <f t="shared" si="71"/>
        <v>0.34846000000000005</v>
      </c>
      <c r="AN75" s="211">
        <f t="shared" si="61"/>
        <v>0.32797121212121216</v>
      </c>
      <c r="AO75" s="95">
        <f t="shared" si="72"/>
        <v>1.2306655930211206</v>
      </c>
      <c r="AP75" s="94">
        <f t="shared" si="62"/>
        <v>0.37113909435261699</v>
      </c>
      <c r="AQ75" s="230">
        <f t="shared" si="63"/>
        <v>1.484556377410468</v>
      </c>
      <c r="AR75" s="230">
        <f t="shared" si="64"/>
        <v>2.2167935757072685</v>
      </c>
      <c r="AS75" s="92">
        <f t="shared" si="65"/>
        <v>3.6000000000000004E-2</v>
      </c>
      <c r="AT75" s="95">
        <f t="shared" si="66"/>
        <v>4.7519999999999999E-5</v>
      </c>
      <c r="AU75" s="94">
        <f t="shared" si="73"/>
        <v>12.888057936599964</v>
      </c>
      <c r="AV75" s="92">
        <f t="shared" si="74"/>
        <v>224.39999999999998</v>
      </c>
      <c r="AW75" s="95">
        <f t="shared" si="75"/>
        <v>94.568602377771796</v>
      </c>
    </row>
    <row r="76" spans="17:49" x14ac:dyDescent="0.25">
      <c r="Q76" s="32">
        <v>69</v>
      </c>
      <c r="R76" s="94">
        <f t="shared" si="49"/>
        <v>45</v>
      </c>
      <c r="S76" s="92">
        <f t="shared" si="50"/>
        <v>5.0599999999999996</v>
      </c>
      <c r="T76" s="92">
        <f t="shared" si="51"/>
        <v>14.4</v>
      </c>
      <c r="U76" s="95">
        <f t="shared" si="52"/>
        <v>15.812499999999998</v>
      </c>
      <c r="V76" s="94">
        <f>IF(Variable_Management!$B$23=3,2,IF((S76*R76/T76)&lt;((T76*(1-(T76/R76)))/(2*Lm*Fsw)),1,2))</f>
        <v>2</v>
      </c>
      <c r="W76" s="92">
        <f t="shared" si="53"/>
        <v>0.67999999999999994</v>
      </c>
      <c r="X76" s="95">
        <f t="shared" si="54"/>
        <v>0.32000000000000006</v>
      </c>
      <c r="Y76" s="94">
        <f t="shared" si="55"/>
        <v>7.4181818181818189</v>
      </c>
      <c r="Z76" s="92">
        <f t="shared" si="30"/>
        <v>19.521590909090907</v>
      </c>
      <c r="AA76" s="92">
        <f t="shared" si="31"/>
        <v>15.95684622267091</v>
      </c>
      <c r="AB76" s="92">
        <v>0</v>
      </c>
      <c r="AC76" s="92">
        <f t="shared" si="56"/>
        <v>1.5277256482438013</v>
      </c>
      <c r="AD76" s="95">
        <f t="shared" si="67"/>
        <v>1.5277256482438013</v>
      </c>
      <c r="AE76" s="94">
        <f t="shared" si="76"/>
        <v>10.752499999999998</v>
      </c>
      <c r="AF76" s="92">
        <f t="shared" si="68"/>
        <v>13.158352485562069</v>
      </c>
      <c r="AG76" s="92">
        <f t="shared" si="57"/>
        <v>1.2119956809400825</v>
      </c>
      <c r="AH76" s="92">
        <f t="shared" si="58"/>
        <v>4.9584123883928557</v>
      </c>
      <c r="AI76" s="95">
        <f t="shared" si="69"/>
        <v>6.1704080693329377</v>
      </c>
      <c r="AJ76" s="94">
        <f t="shared" si="70"/>
        <v>5.0600000000000005</v>
      </c>
      <c r="AK76" s="92">
        <f t="shared" si="59"/>
        <v>9.0265553363212376</v>
      </c>
      <c r="AL76" s="92">
        <f t="shared" si="60"/>
        <v>0.5703509086776859</v>
      </c>
      <c r="AM76" s="92">
        <f t="shared" si="71"/>
        <v>0.34846000000000005</v>
      </c>
      <c r="AN76" s="211">
        <f t="shared" si="61"/>
        <v>0.33186704545454543</v>
      </c>
      <c r="AO76" s="95">
        <f t="shared" si="72"/>
        <v>1.2506779541322313</v>
      </c>
      <c r="AP76" s="94">
        <f t="shared" si="62"/>
        <v>0.38193141206095033</v>
      </c>
      <c r="AQ76" s="230">
        <f t="shared" si="63"/>
        <v>1.5277256482438013</v>
      </c>
      <c r="AR76" s="230">
        <f t="shared" si="64"/>
        <v>2.2167935757072685</v>
      </c>
      <c r="AS76" s="92">
        <f t="shared" si="65"/>
        <v>3.6000000000000004E-2</v>
      </c>
      <c r="AT76" s="95">
        <f t="shared" si="66"/>
        <v>4.7519999999999999E-5</v>
      </c>
      <c r="AU76" s="94">
        <f t="shared" si="73"/>
        <v>13.111309827720991</v>
      </c>
      <c r="AV76" s="92">
        <f t="shared" si="74"/>
        <v>227.7</v>
      </c>
      <c r="AW76" s="95">
        <f t="shared" si="75"/>
        <v>94.555359614504425</v>
      </c>
    </row>
    <row r="77" spans="17:49" x14ac:dyDescent="0.25">
      <c r="Q77" s="32">
        <v>70</v>
      </c>
      <c r="R77" s="94">
        <f t="shared" si="49"/>
        <v>45</v>
      </c>
      <c r="S77" s="92">
        <f t="shared" si="50"/>
        <v>5.1333333333333337</v>
      </c>
      <c r="T77" s="92">
        <f t="shared" si="51"/>
        <v>14.4</v>
      </c>
      <c r="U77" s="95">
        <f t="shared" si="52"/>
        <v>16.041666666666668</v>
      </c>
      <c r="V77" s="94">
        <f>IF(Variable_Management!$B$23=3,2,IF((S77*R77/T77)&lt;((T77*(1-(T77/R77)))/(2*Lm*Fsw)),1,2))</f>
        <v>2</v>
      </c>
      <c r="W77" s="92">
        <f t="shared" si="53"/>
        <v>0.67999999999999994</v>
      </c>
      <c r="X77" s="95">
        <f t="shared" si="54"/>
        <v>0.32000000000000006</v>
      </c>
      <c r="Y77" s="94">
        <f t="shared" si="55"/>
        <v>7.4181818181818189</v>
      </c>
      <c r="Z77" s="92">
        <f t="shared" si="30"/>
        <v>19.750757575757579</v>
      </c>
      <c r="AA77" s="92">
        <f t="shared" si="31"/>
        <v>16.183969061031085</v>
      </c>
      <c r="AB77" s="92">
        <v>0</v>
      </c>
      <c r="AC77" s="92">
        <f t="shared" si="56"/>
        <v>1.5715251274104685</v>
      </c>
      <c r="AD77" s="95">
        <f t="shared" si="67"/>
        <v>1.5715251274104685</v>
      </c>
      <c r="AE77" s="94">
        <f t="shared" si="76"/>
        <v>10.908333333333333</v>
      </c>
      <c r="AF77" s="92">
        <f t="shared" si="68"/>
        <v>13.345642776071889</v>
      </c>
      <c r="AG77" s="92">
        <f t="shared" si="57"/>
        <v>1.2467432677456387</v>
      </c>
      <c r="AH77" s="92">
        <f t="shared" si="58"/>
        <v>5.0302734375</v>
      </c>
      <c r="AI77" s="95">
        <f t="shared" si="69"/>
        <v>6.2770167052456385</v>
      </c>
      <c r="AJ77" s="94">
        <f t="shared" si="70"/>
        <v>5.1333333333333346</v>
      </c>
      <c r="AK77" s="92">
        <f t="shared" si="59"/>
        <v>9.1550354156546927</v>
      </c>
      <c r="AL77" s="92">
        <f t="shared" si="60"/>
        <v>0.58670271423324183</v>
      </c>
      <c r="AM77" s="92">
        <f t="shared" si="71"/>
        <v>0.34846000000000005</v>
      </c>
      <c r="AN77" s="211">
        <f t="shared" si="61"/>
        <v>0.33576287878787886</v>
      </c>
      <c r="AO77" s="95">
        <f t="shared" si="72"/>
        <v>1.2709255930211207</v>
      </c>
      <c r="AP77" s="94">
        <f t="shared" si="62"/>
        <v>0.39288128185261711</v>
      </c>
      <c r="AQ77" s="230">
        <f t="shared" si="63"/>
        <v>1.5715251274104685</v>
      </c>
      <c r="AR77" s="230">
        <f t="shared" si="64"/>
        <v>2.2167935757072685</v>
      </c>
      <c r="AS77" s="92">
        <f t="shared" si="65"/>
        <v>3.6000000000000004E-2</v>
      </c>
      <c r="AT77" s="95">
        <f t="shared" si="66"/>
        <v>4.7519999999999999E-5</v>
      </c>
      <c r="AU77" s="94">
        <f t="shared" si="73"/>
        <v>13.336714930647585</v>
      </c>
      <c r="AV77" s="92">
        <f t="shared" si="74"/>
        <v>231.00000000000003</v>
      </c>
      <c r="AW77" s="95">
        <f t="shared" si="75"/>
        <v>94.541665613195676</v>
      </c>
    </row>
    <row r="78" spans="17:49" x14ac:dyDescent="0.25">
      <c r="Q78" s="32">
        <v>71</v>
      </c>
      <c r="R78" s="94">
        <f t="shared" si="49"/>
        <v>45</v>
      </c>
      <c r="S78" s="92">
        <f t="shared" si="50"/>
        <v>5.206666666666667</v>
      </c>
      <c r="T78" s="92">
        <f t="shared" si="51"/>
        <v>14.4</v>
      </c>
      <c r="U78" s="95">
        <f t="shared" si="52"/>
        <v>16.270833333333332</v>
      </c>
      <c r="V78" s="94">
        <f>IF(Variable_Management!$B$23=3,2,IF((S78*R78/T78)&lt;((T78*(1-(T78/R78)))/(2*Lm*Fsw)),1,2))</f>
        <v>2</v>
      </c>
      <c r="W78" s="92">
        <f t="shared" si="53"/>
        <v>0.67999999999999994</v>
      </c>
      <c r="X78" s="95">
        <f t="shared" si="54"/>
        <v>0.32000000000000006</v>
      </c>
      <c r="Y78" s="94">
        <f t="shared" si="55"/>
        <v>7.4181818181818189</v>
      </c>
      <c r="Z78" s="92">
        <f t="shared" si="30"/>
        <v>19.979924242424243</v>
      </c>
      <c r="AA78" s="92">
        <f t="shared" si="31"/>
        <v>16.411148725335408</v>
      </c>
      <c r="AB78" s="92">
        <v>0</v>
      </c>
      <c r="AC78" s="92">
        <f t="shared" si="56"/>
        <v>1.6159548149104679</v>
      </c>
      <c r="AD78" s="95">
        <f t="shared" si="67"/>
        <v>1.6159548149104679</v>
      </c>
      <c r="AE78" s="94">
        <f t="shared" si="76"/>
        <v>11.064166666666665</v>
      </c>
      <c r="AF78" s="92">
        <f t="shared" si="68"/>
        <v>13.532979926455704</v>
      </c>
      <c r="AG78" s="92">
        <f t="shared" si="57"/>
        <v>1.2819908198289713</v>
      </c>
      <c r="AH78" s="92">
        <f t="shared" si="58"/>
        <v>5.1021344866071425</v>
      </c>
      <c r="AI78" s="95">
        <f t="shared" si="69"/>
        <v>6.3841253064361139</v>
      </c>
      <c r="AJ78" s="94">
        <f t="shared" si="70"/>
        <v>5.206666666666667</v>
      </c>
      <c r="AK78" s="92">
        <f t="shared" si="59"/>
        <v>9.2835476405965078</v>
      </c>
      <c r="AL78" s="92">
        <f t="shared" si="60"/>
        <v>0.60328979756657486</v>
      </c>
      <c r="AM78" s="92">
        <f t="shared" si="71"/>
        <v>0.34846000000000005</v>
      </c>
      <c r="AN78" s="211">
        <f t="shared" si="61"/>
        <v>0.33965871212121218</v>
      </c>
      <c r="AO78" s="95">
        <f t="shared" si="72"/>
        <v>1.2914085096877872</v>
      </c>
      <c r="AP78" s="94">
        <f t="shared" si="62"/>
        <v>0.40398870372761697</v>
      </c>
      <c r="AQ78" s="230">
        <f t="shared" si="63"/>
        <v>1.6159548149104679</v>
      </c>
      <c r="AR78" s="230">
        <f t="shared" si="64"/>
        <v>2.2167935757072685</v>
      </c>
      <c r="AS78" s="92">
        <f t="shared" si="65"/>
        <v>3.6000000000000004E-2</v>
      </c>
      <c r="AT78" s="95">
        <f t="shared" si="66"/>
        <v>4.7519999999999999E-5</v>
      </c>
      <c r="AU78" s="94">
        <f t="shared" si="73"/>
        <v>13.564273245379724</v>
      </c>
      <c r="AV78" s="92">
        <f t="shared" si="74"/>
        <v>234.3</v>
      </c>
      <c r="AW78" s="95">
        <f t="shared" si="75"/>
        <v>94.5275399847757</v>
      </c>
    </row>
    <row r="79" spans="17:49" x14ac:dyDescent="0.25">
      <c r="Q79" s="32">
        <v>72</v>
      </c>
      <c r="R79" s="94">
        <f t="shared" si="49"/>
        <v>45</v>
      </c>
      <c r="S79" s="92">
        <f t="shared" si="50"/>
        <v>5.28</v>
      </c>
      <c r="T79" s="92">
        <f t="shared" si="51"/>
        <v>14.4</v>
      </c>
      <c r="U79" s="95">
        <f t="shared" si="52"/>
        <v>16.5</v>
      </c>
      <c r="V79" s="94">
        <f>IF(Variable_Management!$B$23=3,2,IF((S79*R79/T79)&lt;((T79*(1-(T79/R79)))/(2*Lm*Fsw)),1,2))</f>
        <v>2</v>
      </c>
      <c r="W79" s="92">
        <f t="shared" si="53"/>
        <v>0.67999999999999994</v>
      </c>
      <c r="X79" s="95">
        <f t="shared" si="54"/>
        <v>0.32000000000000006</v>
      </c>
      <c r="Y79" s="94">
        <f t="shared" si="55"/>
        <v>7.4181818181818189</v>
      </c>
      <c r="Z79" s="92">
        <f t="shared" si="30"/>
        <v>20.209090909090911</v>
      </c>
      <c r="AA79" s="92">
        <f t="shared" si="31"/>
        <v>16.638382887888081</v>
      </c>
      <c r="AB79" s="92">
        <v>0</v>
      </c>
      <c r="AC79" s="92">
        <f t="shared" si="56"/>
        <v>1.6610147107438014</v>
      </c>
      <c r="AD79" s="95">
        <f t="shared" si="67"/>
        <v>1.6610147107438014</v>
      </c>
      <c r="AE79" s="94">
        <f t="shared" si="76"/>
        <v>11.219999999999999</v>
      </c>
      <c r="AF79" s="92">
        <f t="shared" si="68"/>
        <v>13.720362017246394</v>
      </c>
      <c r="AG79" s="92">
        <f t="shared" si="57"/>
        <v>1.3177383371900828</v>
      </c>
      <c r="AH79" s="92">
        <f t="shared" si="58"/>
        <v>5.1739955357142859</v>
      </c>
      <c r="AI79" s="95">
        <f t="shared" si="69"/>
        <v>6.4917338729043692</v>
      </c>
      <c r="AJ79" s="94">
        <f t="shared" si="70"/>
        <v>5.2800000000000011</v>
      </c>
      <c r="AK79" s="92">
        <f t="shared" si="59"/>
        <v>9.4120906944031013</v>
      </c>
      <c r="AL79" s="92">
        <f t="shared" si="60"/>
        <v>0.6201121586776861</v>
      </c>
      <c r="AM79" s="92">
        <f t="shared" si="71"/>
        <v>0.34846000000000005</v>
      </c>
      <c r="AN79" s="211">
        <f t="shared" si="61"/>
        <v>0.3435545454545455</v>
      </c>
      <c r="AO79" s="95">
        <f t="shared" si="72"/>
        <v>1.3121267041322315</v>
      </c>
      <c r="AP79" s="94">
        <f t="shared" si="62"/>
        <v>0.41525367768595034</v>
      </c>
      <c r="AQ79" s="230">
        <f t="shared" si="63"/>
        <v>1.6610147107438014</v>
      </c>
      <c r="AR79" s="230">
        <f t="shared" si="64"/>
        <v>2.2167935757072685</v>
      </c>
      <c r="AS79" s="92">
        <f t="shared" si="65"/>
        <v>3.6000000000000004E-2</v>
      </c>
      <c r="AT79" s="95">
        <f t="shared" si="66"/>
        <v>4.7519999999999999E-5</v>
      </c>
      <c r="AU79" s="94">
        <f t="shared" si="73"/>
        <v>13.793984771917422</v>
      </c>
      <c r="AV79" s="92">
        <f t="shared" si="74"/>
        <v>237.60000000000002</v>
      </c>
      <c r="AW79" s="95">
        <f t="shared" si="75"/>
        <v>94.513001261970402</v>
      </c>
    </row>
    <row r="80" spans="17:49" x14ac:dyDescent="0.25">
      <c r="Q80" s="32">
        <v>73</v>
      </c>
      <c r="R80" s="94">
        <f t="shared" si="49"/>
        <v>45</v>
      </c>
      <c r="S80" s="92">
        <f t="shared" si="50"/>
        <v>5.3533333333333335</v>
      </c>
      <c r="T80" s="92">
        <f t="shared" si="51"/>
        <v>14.4</v>
      </c>
      <c r="U80" s="95">
        <f t="shared" si="52"/>
        <v>16.729166666666668</v>
      </c>
      <c r="V80" s="94">
        <f>IF(Variable_Management!$B$23=3,2,IF((S80*R80/T80)&lt;((T80*(1-(T80/R80)))/(2*Lm*Fsw)),1,2))</f>
        <v>2</v>
      </c>
      <c r="W80" s="92">
        <f t="shared" si="53"/>
        <v>0.67999999999999994</v>
      </c>
      <c r="X80" s="95">
        <f t="shared" si="54"/>
        <v>0.32000000000000006</v>
      </c>
      <c r="Y80" s="94">
        <f t="shared" si="55"/>
        <v>7.4181818181818189</v>
      </c>
      <c r="Z80" s="92">
        <f t="shared" ref="Z80:Z143" si="77">CHOOSE(V80,Y80,U80+(0.5*Y80))</f>
        <v>20.438257575757579</v>
      </c>
      <c r="AA80" s="92">
        <f t="shared" ref="AA80:AA143" si="78">CHOOSE(V80,Z80*SQRT((W80+X80)/3),SQRT((U80^2)+((Y80^2)/12)))</f>
        <v>16.865669345895469</v>
      </c>
      <c r="AB80" s="92">
        <v>0</v>
      </c>
      <c r="AC80" s="92">
        <f t="shared" si="56"/>
        <v>1.7067048149104687</v>
      </c>
      <c r="AD80" s="95">
        <f t="shared" si="67"/>
        <v>1.7067048149104687</v>
      </c>
      <c r="AE80" s="94">
        <f t="shared" si="76"/>
        <v>11.375833333333333</v>
      </c>
      <c r="AF80" s="92">
        <f t="shared" si="68"/>
        <v>13.907787231973789</v>
      </c>
      <c r="AG80" s="92">
        <f t="shared" si="57"/>
        <v>1.353985819828972</v>
      </c>
      <c r="AH80" s="92">
        <f t="shared" si="58"/>
        <v>5.2458565848214285</v>
      </c>
      <c r="AI80" s="95">
        <f t="shared" si="69"/>
        <v>6.599842404650401</v>
      </c>
      <c r="AJ80" s="94">
        <f t="shared" si="70"/>
        <v>5.3533333333333344</v>
      </c>
      <c r="AK80" s="92">
        <f t="shared" si="59"/>
        <v>9.5406633309862183</v>
      </c>
      <c r="AL80" s="92">
        <f t="shared" si="60"/>
        <v>0.63716979756657532</v>
      </c>
      <c r="AM80" s="92">
        <f t="shared" si="71"/>
        <v>0.34846000000000005</v>
      </c>
      <c r="AN80" s="211">
        <f t="shared" si="61"/>
        <v>0.34745037878787888</v>
      </c>
      <c r="AO80" s="95">
        <f t="shared" si="72"/>
        <v>1.3330801763544542</v>
      </c>
      <c r="AP80" s="94">
        <f t="shared" si="62"/>
        <v>0.42667620372761716</v>
      </c>
      <c r="AQ80" s="230">
        <f t="shared" si="63"/>
        <v>1.7067048149104687</v>
      </c>
      <c r="AR80" s="230">
        <f t="shared" si="64"/>
        <v>2.2167935757072685</v>
      </c>
      <c r="AS80" s="92">
        <f t="shared" si="65"/>
        <v>3.6000000000000004E-2</v>
      </c>
      <c r="AT80" s="95">
        <f t="shared" si="66"/>
        <v>4.7519999999999999E-5</v>
      </c>
      <c r="AU80" s="94">
        <f t="shared" si="73"/>
        <v>14.025849510260677</v>
      </c>
      <c r="AV80" s="92">
        <f t="shared" si="74"/>
        <v>240.9</v>
      </c>
      <c r="AW80" s="95">
        <f t="shared" si="75"/>
        <v>94.498066972334968</v>
      </c>
    </row>
    <row r="81" spans="17:49" x14ac:dyDescent="0.25">
      <c r="Q81" s="32">
        <v>74</v>
      </c>
      <c r="R81" s="94">
        <f t="shared" si="49"/>
        <v>45</v>
      </c>
      <c r="S81" s="92">
        <f t="shared" si="50"/>
        <v>5.4266666666666667</v>
      </c>
      <c r="T81" s="92">
        <f t="shared" si="51"/>
        <v>14.4</v>
      </c>
      <c r="U81" s="95">
        <f t="shared" si="52"/>
        <v>16.958333333333336</v>
      </c>
      <c r="V81" s="94">
        <f>IF(Variable_Management!$B$23=3,2,IF((S81*R81/T81)&lt;((T81*(1-(T81/R81)))/(2*Lm*Fsw)),1,2))</f>
        <v>2</v>
      </c>
      <c r="W81" s="92">
        <f t="shared" si="53"/>
        <v>0.67999999999999994</v>
      </c>
      <c r="X81" s="95">
        <f t="shared" si="54"/>
        <v>0.32000000000000006</v>
      </c>
      <c r="Y81" s="94">
        <f t="shared" si="55"/>
        <v>7.4181818181818189</v>
      </c>
      <c r="Z81" s="92">
        <f t="shared" si="77"/>
        <v>20.667424242424246</v>
      </c>
      <c r="AA81" s="92">
        <f t="shared" si="78"/>
        <v>17.093006013232767</v>
      </c>
      <c r="AB81" s="92">
        <v>0</v>
      </c>
      <c r="AC81" s="92">
        <f t="shared" si="56"/>
        <v>1.7530251274104691</v>
      </c>
      <c r="AD81" s="95">
        <f t="shared" si="67"/>
        <v>1.7530251274104691</v>
      </c>
      <c r="AE81" s="94">
        <f t="shared" si="76"/>
        <v>11.531666666666668</v>
      </c>
      <c r="AF81" s="92">
        <f t="shared" si="68"/>
        <v>14.095253850375304</v>
      </c>
      <c r="AG81" s="92">
        <f t="shared" si="57"/>
        <v>1.3907332677456388</v>
      </c>
      <c r="AH81" s="92">
        <f t="shared" si="58"/>
        <v>5.3177176339285728</v>
      </c>
      <c r="AI81" s="95">
        <f t="shared" si="69"/>
        <v>6.7084509016742118</v>
      </c>
      <c r="AJ81" s="94">
        <f t="shared" si="70"/>
        <v>5.4266666666666685</v>
      </c>
      <c r="AK81" s="92">
        <f t="shared" si="59"/>
        <v>9.6692643702554602</v>
      </c>
      <c r="AL81" s="92">
        <f t="shared" si="60"/>
        <v>0.65446271423324209</v>
      </c>
      <c r="AM81" s="92">
        <f t="shared" si="71"/>
        <v>0.34846000000000005</v>
      </c>
      <c r="AN81" s="211">
        <f t="shared" si="61"/>
        <v>0.3513462121212122</v>
      </c>
      <c r="AO81" s="95">
        <f t="shared" si="72"/>
        <v>1.3542689263544543</v>
      </c>
      <c r="AP81" s="94">
        <f t="shared" si="62"/>
        <v>0.43825628185261728</v>
      </c>
      <c r="AQ81" s="230">
        <f t="shared" si="63"/>
        <v>1.7530251274104691</v>
      </c>
      <c r="AR81" s="230">
        <f t="shared" si="64"/>
        <v>2.2167935757072685</v>
      </c>
      <c r="AS81" s="92">
        <f t="shared" si="65"/>
        <v>3.6000000000000004E-2</v>
      </c>
      <c r="AT81" s="95">
        <f t="shared" si="66"/>
        <v>4.7519999999999999E-5</v>
      </c>
      <c r="AU81" s="94">
        <f t="shared" si="73"/>
        <v>14.259867460409488</v>
      </c>
      <c r="AV81" s="92">
        <f t="shared" si="74"/>
        <v>244.20000000000002</v>
      </c>
      <c r="AW81" s="95">
        <f t="shared" si="75"/>
        <v>94.482753705430184</v>
      </c>
    </row>
    <row r="82" spans="17:49" x14ac:dyDescent="0.25">
      <c r="Q82" s="32">
        <v>75</v>
      </c>
      <c r="R82" s="94">
        <f t="shared" si="49"/>
        <v>45</v>
      </c>
      <c r="S82" s="92">
        <f t="shared" si="50"/>
        <v>5.5</v>
      </c>
      <c r="T82" s="92">
        <f t="shared" si="51"/>
        <v>14.4</v>
      </c>
      <c r="U82" s="95">
        <f t="shared" si="52"/>
        <v>17.1875</v>
      </c>
      <c r="V82" s="94">
        <f>IF(Variable_Management!$B$23=3,2,IF((S82*R82/T82)&lt;((T82*(1-(T82/R82)))/(2*Lm*Fsw)),1,2))</f>
        <v>2</v>
      </c>
      <c r="W82" s="92">
        <f t="shared" si="53"/>
        <v>0.67999999999999994</v>
      </c>
      <c r="X82" s="95">
        <f t="shared" si="54"/>
        <v>0.32000000000000006</v>
      </c>
      <c r="Y82" s="94">
        <f t="shared" si="55"/>
        <v>7.4181818181818189</v>
      </c>
      <c r="Z82" s="92">
        <f t="shared" si="77"/>
        <v>20.896590909090911</v>
      </c>
      <c r="AA82" s="92">
        <f t="shared" si="78"/>
        <v>17.320390912850868</v>
      </c>
      <c r="AB82" s="92">
        <v>0</v>
      </c>
      <c r="AC82" s="92">
        <f t="shared" si="56"/>
        <v>1.7999756482438019</v>
      </c>
      <c r="AD82" s="95">
        <f t="shared" si="67"/>
        <v>1.7999756482438019</v>
      </c>
      <c r="AE82" s="94">
        <f t="shared" si="76"/>
        <v>11.687499999999998</v>
      </c>
      <c r="AF82" s="92">
        <f t="shared" si="68"/>
        <v>14.282760242134485</v>
      </c>
      <c r="AG82" s="92">
        <f t="shared" si="57"/>
        <v>1.4279806809400828</v>
      </c>
      <c r="AH82" s="92">
        <f t="shared" si="58"/>
        <v>5.3895786830357144</v>
      </c>
      <c r="AI82" s="95">
        <f t="shared" si="69"/>
        <v>6.8175593639757972</v>
      </c>
      <c r="AJ82" s="94">
        <f t="shared" si="70"/>
        <v>5.5000000000000009</v>
      </c>
      <c r="AK82" s="92">
        <f t="shared" si="59"/>
        <v>9.7978926938229645</v>
      </c>
      <c r="AL82" s="92">
        <f t="shared" si="60"/>
        <v>0.67199090867768607</v>
      </c>
      <c r="AM82" s="92">
        <f t="shared" si="71"/>
        <v>0.34846000000000005</v>
      </c>
      <c r="AN82" s="211">
        <f t="shared" si="61"/>
        <v>0.35524204545454552</v>
      </c>
      <c r="AO82" s="95">
        <f t="shared" si="72"/>
        <v>1.3756929541322316</v>
      </c>
      <c r="AP82" s="94">
        <f t="shared" si="62"/>
        <v>0.44999391206095046</v>
      </c>
      <c r="AQ82" s="230">
        <f t="shared" si="63"/>
        <v>1.7999756482438019</v>
      </c>
      <c r="AR82" s="230">
        <f t="shared" si="64"/>
        <v>2.2167935757072685</v>
      </c>
      <c r="AS82" s="92">
        <f t="shared" si="65"/>
        <v>3.6000000000000004E-2</v>
      </c>
      <c r="AT82" s="95">
        <f t="shared" si="66"/>
        <v>4.7519999999999999E-5</v>
      </c>
      <c r="AU82" s="94">
        <f t="shared" si="73"/>
        <v>14.496038622363852</v>
      </c>
      <c r="AV82" s="92">
        <f t="shared" si="74"/>
        <v>247.5</v>
      </c>
      <c r="AW82" s="95">
        <f t="shared" si="75"/>
        <v>94.467077174682714</v>
      </c>
    </row>
    <row r="83" spans="17:49" x14ac:dyDescent="0.25">
      <c r="Q83" s="32">
        <v>76</v>
      </c>
      <c r="R83" s="94">
        <f t="shared" si="49"/>
        <v>45</v>
      </c>
      <c r="S83" s="92">
        <f t="shared" si="50"/>
        <v>5.5733333333333333</v>
      </c>
      <c r="T83" s="92">
        <f t="shared" si="51"/>
        <v>14.4</v>
      </c>
      <c r="U83" s="95">
        <f t="shared" si="52"/>
        <v>17.416666666666664</v>
      </c>
      <c r="V83" s="94">
        <f>IF(Variable_Management!$B$23=3,2,IF((S83*R83/T83)&lt;((T83*(1-(T83/R83)))/(2*Lm*Fsw)),1,2))</f>
        <v>2</v>
      </c>
      <c r="W83" s="92">
        <f t="shared" si="53"/>
        <v>0.67999999999999994</v>
      </c>
      <c r="X83" s="95">
        <f t="shared" si="54"/>
        <v>0.32000000000000006</v>
      </c>
      <c r="Y83" s="94">
        <f t="shared" si="55"/>
        <v>7.4181818181818189</v>
      </c>
      <c r="Z83" s="92">
        <f t="shared" si="77"/>
        <v>21.125757575757575</v>
      </c>
      <c r="AA83" s="92">
        <f t="shared" si="78"/>
        <v>17.547822169766388</v>
      </c>
      <c r="AB83" s="92">
        <v>0</v>
      </c>
      <c r="AC83" s="92">
        <f t="shared" si="56"/>
        <v>1.8475563774104684</v>
      </c>
      <c r="AD83" s="95">
        <f t="shared" si="67"/>
        <v>1.8475563774104684</v>
      </c>
      <c r="AE83" s="94">
        <f t="shared" si="76"/>
        <v>11.84333333333333</v>
      </c>
      <c r="AF83" s="92">
        <f t="shared" si="68"/>
        <v>14.470304861100416</v>
      </c>
      <c r="AG83" s="92">
        <f t="shared" si="57"/>
        <v>1.4657280594123046</v>
      </c>
      <c r="AH83" s="92">
        <f t="shared" si="58"/>
        <v>5.4614397321428561</v>
      </c>
      <c r="AI83" s="95">
        <f t="shared" si="69"/>
        <v>6.9271677915551608</v>
      </c>
      <c r="AJ83" s="94">
        <f t="shared" si="70"/>
        <v>5.5733333333333333</v>
      </c>
      <c r="AK83" s="92">
        <f t="shared" si="59"/>
        <v>9.9265472410379587</v>
      </c>
      <c r="AL83" s="92">
        <f t="shared" si="60"/>
        <v>0.68975438089990815</v>
      </c>
      <c r="AM83" s="92">
        <f t="shared" si="71"/>
        <v>0.34846000000000005</v>
      </c>
      <c r="AN83" s="211">
        <f t="shared" si="61"/>
        <v>0.35913787878787878</v>
      </c>
      <c r="AO83" s="95">
        <f t="shared" si="72"/>
        <v>1.397352259687787</v>
      </c>
      <c r="AP83" s="94">
        <f t="shared" si="62"/>
        <v>0.4618890943526171</v>
      </c>
      <c r="AQ83" s="230">
        <f t="shared" si="63"/>
        <v>1.8475563774104684</v>
      </c>
      <c r="AR83" s="230">
        <f t="shared" si="64"/>
        <v>2.2167935757072685</v>
      </c>
      <c r="AS83" s="92">
        <f t="shared" si="65"/>
        <v>3.6000000000000004E-2</v>
      </c>
      <c r="AT83" s="95">
        <f t="shared" si="66"/>
        <v>4.7519999999999999E-5</v>
      </c>
      <c r="AU83" s="94">
        <f t="shared" si="73"/>
        <v>14.734362996123771</v>
      </c>
      <c r="AV83" s="92">
        <f t="shared" si="74"/>
        <v>250.79999999999998</v>
      </c>
      <c r="AW83" s="95">
        <f t="shared" si="75"/>
        <v>94.451052274413584</v>
      </c>
    </row>
    <row r="84" spans="17:49" x14ac:dyDescent="0.25">
      <c r="Q84" s="32">
        <v>77</v>
      </c>
      <c r="R84" s="94">
        <f t="shared" si="49"/>
        <v>45</v>
      </c>
      <c r="S84" s="92">
        <f t="shared" si="50"/>
        <v>5.6466666666666665</v>
      </c>
      <c r="T84" s="92">
        <f t="shared" si="51"/>
        <v>14.4</v>
      </c>
      <c r="U84" s="95">
        <f t="shared" si="52"/>
        <v>17.645833333333332</v>
      </c>
      <c r="V84" s="94">
        <f>IF(Variable_Management!$B$23=3,2,IF((S84*R84/T84)&lt;((T84*(1-(T84/R84)))/(2*Lm*Fsw)),1,2))</f>
        <v>2</v>
      </c>
      <c r="W84" s="92">
        <f t="shared" si="53"/>
        <v>0.67999999999999994</v>
      </c>
      <c r="X84" s="95">
        <f t="shared" si="54"/>
        <v>0.32000000000000006</v>
      </c>
      <c r="Y84" s="94">
        <f t="shared" si="55"/>
        <v>7.4181818181818189</v>
      </c>
      <c r="Z84" s="92">
        <f t="shared" si="77"/>
        <v>21.354924242424243</v>
      </c>
      <c r="AA84" s="92">
        <f t="shared" si="78"/>
        <v>17.775298004583345</v>
      </c>
      <c r="AB84" s="92">
        <v>0</v>
      </c>
      <c r="AC84" s="92">
        <f t="shared" si="56"/>
        <v>1.8957673149104677</v>
      </c>
      <c r="AD84" s="95">
        <f t="shared" si="67"/>
        <v>1.8957673149104677</v>
      </c>
      <c r="AE84" s="94">
        <f t="shared" si="76"/>
        <v>11.999166666666666</v>
      </c>
      <c r="AF84" s="92">
        <f t="shared" si="68"/>
        <v>14.657886239945594</v>
      </c>
      <c r="AG84" s="92">
        <f t="shared" si="57"/>
        <v>1.5039754031623045</v>
      </c>
      <c r="AH84" s="92">
        <f t="shared" si="58"/>
        <v>5.5333007812499995</v>
      </c>
      <c r="AI84" s="95">
        <f t="shared" si="69"/>
        <v>7.0372761844123044</v>
      </c>
      <c r="AJ84" s="94">
        <f t="shared" si="70"/>
        <v>5.6466666666666674</v>
      </c>
      <c r="AK84" s="92">
        <f t="shared" si="59"/>
        <v>10.055227005322074</v>
      </c>
      <c r="AL84" s="92">
        <f t="shared" si="60"/>
        <v>0.70775313089990821</v>
      </c>
      <c r="AM84" s="92">
        <f t="shared" si="71"/>
        <v>0.34846000000000005</v>
      </c>
      <c r="AN84" s="211">
        <f t="shared" si="61"/>
        <v>0.36303371212121216</v>
      </c>
      <c r="AO84" s="95">
        <f t="shared" si="72"/>
        <v>1.4192468430211205</v>
      </c>
      <c r="AP84" s="94">
        <f t="shared" si="62"/>
        <v>0.47394182872761692</v>
      </c>
      <c r="AQ84" s="230">
        <f t="shared" si="63"/>
        <v>1.8957673149104677</v>
      </c>
      <c r="AR84" s="230">
        <f t="shared" si="64"/>
        <v>2.2167935757072685</v>
      </c>
      <c r="AS84" s="92">
        <f t="shared" si="65"/>
        <v>3.6000000000000004E-2</v>
      </c>
      <c r="AT84" s="95">
        <f t="shared" si="66"/>
        <v>4.7519999999999999E-5</v>
      </c>
      <c r="AU84" s="94">
        <f t="shared" si="73"/>
        <v>14.974840581689246</v>
      </c>
      <c r="AV84" s="92">
        <f t="shared" si="74"/>
        <v>254.1</v>
      </c>
      <c r="AW84" s="95">
        <f t="shared" si="75"/>
        <v>94.434693132469604</v>
      </c>
    </row>
    <row r="85" spans="17:49" x14ac:dyDescent="0.25">
      <c r="Q85" s="32">
        <v>78</v>
      </c>
      <c r="R85" s="94">
        <f t="shared" si="49"/>
        <v>45</v>
      </c>
      <c r="S85" s="92">
        <f t="shared" si="50"/>
        <v>5.72</v>
      </c>
      <c r="T85" s="92">
        <f t="shared" si="51"/>
        <v>14.4</v>
      </c>
      <c r="U85" s="95">
        <f t="shared" si="52"/>
        <v>17.874999999999996</v>
      </c>
      <c r="V85" s="94">
        <f>IF(Variable_Management!$B$23=3,2,IF((S85*R85/T85)&lt;((T85*(1-(T85/R85)))/(2*Lm*Fsw)),1,2))</f>
        <v>2</v>
      </c>
      <c r="W85" s="92">
        <f t="shared" si="53"/>
        <v>0.67999999999999994</v>
      </c>
      <c r="X85" s="95">
        <f t="shared" si="54"/>
        <v>0.32000000000000006</v>
      </c>
      <c r="Y85" s="94">
        <f t="shared" si="55"/>
        <v>7.4181818181818189</v>
      </c>
      <c r="Z85" s="92">
        <f t="shared" si="77"/>
        <v>21.584090909090907</v>
      </c>
      <c r="AA85" s="92">
        <f t="shared" si="78"/>
        <v>18.002816727500363</v>
      </c>
      <c r="AB85" s="92">
        <v>0</v>
      </c>
      <c r="AC85" s="92">
        <f t="shared" si="56"/>
        <v>1.9446084607438014</v>
      </c>
      <c r="AD85" s="95">
        <f t="shared" si="67"/>
        <v>1.9446084607438014</v>
      </c>
      <c r="AE85" s="94">
        <f t="shared" si="76"/>
        <v>12.154999999999996</v>
      </c>
      <c r="AF85" s="92">
        <f t="shared" si="68"/>
        <v>14.845502985224092</v>
      </c>
      <c r="AG85" s="92">
        <f t="shared" si="57"/>
        <v>1.5427227121900822</v>
      </c>
      <c r="AH85" s="92">
        <f t="shared" si="58"/>
        <v>5.605161830357142</v>
      </c>
      <c r="AI85" s="95">
        <f t="shared" si="69"/>
        <v>7.1478845425472244</v>
      </c>
      <c r="AJ85" s="94">
        <f t="shared" si="70"/>
        <v>5.72</v>
      </c>
      <c r="AK85" s="92">
        <f t="shared" si="59"/>
        <v>10.183931030779293</v>
      </c>
      <c r="AL85" s="92">
        <f t="shared" si="60"/>
        <v>0.72598715867768571</v>
      </c>
      <c r="AM85" s="92">
        <f t="shared" si="71"/>
        <v>0.34846000000000005</v>
      </c>
      <c r="AN85" s="211">
        <f t="shared" si="61"/>
        <v>0.36692954545454542</v>
      </c>
      <c r="AO85" s="95">
        <f t="shared" si="72"/>
        <v>1.4413767041322312</v>
      </c>
      <c r="AP85" s="94">
        <f t="shared" si="62"/>
        <v>0.48615211518595036</v>
      </c>
      <c r="AQ85" s="230">
        <f t="shared" si="63"/>
        <v>1.9446084607438014</v>
      </c>
      <c r="AR85" s="230">
        <f t="shared" si="64"/>
        <v>2.2167935757072685</v>
      </c>
      <c r="AS85" s="92">
        <f t="shared" si="65"/>
        <v>3.6000000000000004E-2</v>
      </c>
      <c r="AT85" s="95">
        <f t="shared" si="66"/>
        <v>4.7519999999999999E-5</v>
      </c>
      <c r="AU85" s="94">
        <f t="shared" si="73"/>
        <v>15.217471379060278</v>
      </c>
      <c r="AV85" s="92">
        <f t="shared" si="74"/>
        <v>257.39999999999998</v>
      </c>
      <c r="AW85" s="95">
        <f t="shared" si="75"/>
        <v>94.418013158848069</v>
      </c>
    </row>
    <row r="86" spans="17:49" x14ac:dyDescent="0.25">
      <c r="Q86" s="32">
        <v>79</v>
      </c>
      <c r="R86" s="94">
        <f t="shared" si="49"/>
        <v>45</v>
      </c>
      <c r="S86" s="92">
        <f t="shared" si="50"/>
        <v>5.793333333333333</v>
      </c>
      <c r="T86" s="92">
        <f t="shared" si="51"/>
        <v>14.4</v>
      </c>
      <c r="U86" s="95">
        <f t="shared" si="52"/>
        <v>18.104166666666664</v>
      </c>
      <c r="V86" s="94">
        <f>IF(Variable_Management!$B$23=3,2,IF((S86*R86/T86)&lt;((T86*(1-(T86/R86)))/(2*Lm*Fsw)),1,2))</f>
        <v>2</v>
      </c>
      <c r="W86" s="92">
        <f t="shared" si="53"/>
        <v>0.67999999999999994</v>
      </c>
      <c r="X86" s="95">
        <f t="shared" si="54"/>
        <v>0.32000000000000006</v>
      </c>
      <c r="Y86" s="94">
        <f t="shared" si="55"/>
        <v>7.4181818181818189</v>
      </c>
      <c r="Z86" s="92">
        <f t="shared" si="77"/>
        <v>21.813257575757575</v>
      </c>
      <c r="AA86" s="92">
        <f t="shared" si="78"/>
        <v>18.230376732761485</v>
      </c>
      <c r="AB86" s="92">
        <v>0</v>
      </c>
      <c r="AC86" s="92">
        <f t="shared" si="56"/>
        <v>1.9940798149104679</v>
      </c>
      <c r="AD86" s="95">
        <f t="shared" si="67"/>
        <v>1.9940798149104679</v>
      </c>
      <c r="AE86" s="94">
        <f t="shared" si="76"/>
        <v>12.310833333333331</v>
      </c>
      <c r="AF86" s="92">
        <f t="shared" si="68"/>
        <v>15.033153772795636</v>
      </c>
      <c r="AG86" s="92">
        <f t="shared" si="57"/>
        <v>1.5819699864956378</v>
      </c>
      <c r="AH86" s="92">
        <f t="shared" si="58"/>
        <v>5.6770228794642845</v>
      </c>
      <c r="AI86" s="95">
        <f t="shared" si="69"/>
        <v>7.2589928659599225</v>
      </c>
      <c r="AJ86" s="94">
        <f t="shared" si="70"/>
        <v>5.7933333333333339</v>
      </c>
      <c r="AK86" s="92">
        <f t="shared" si="59"/>
        <v>10.312658409056883</v>
      </c>
      <c r="AL86" s="92">
        <f t="shared" si="60"/>
        <v>0.74445646423324163</v>
      </c>
      <c r="AM86" s="92">
        <f t="shared" si="71"/>
        <v>0.34846000000000005</v>
      </c>
      <c r="AN86" s="211">
        <f t="shared" si="61"/>
        <v>0.3708253787878788</v>
      </c>
      <c r="AO86" s="95">
        <f t="shared" si="72"/>
        <v>1.4637418430211204</v>
      </c>
      <c r="AP86" s="94">
        <f t="shared" si="62"/>
        <v>0.49851995372761698</v>
      </c>
      <c r="AQ86" s="230">
        <f t="shared" si="63"/>
        <v>1.9940798149104679</v>
      </c>
      <c r="AR86" s="230">
        <f t="shared" si="64"/>
        <v>2.2167935757072685</v>
      </c>
      <c r="AS86" s="92">
        <f t="shared" si="65"/>
        <v>3.6000000000000004E-2</v>
      </c>
      <c r="AT86" s="95">
        <f t="shared" si="66"/>
        <v>4.7519999999999999E-5</v>
      </c>
      <c r="AU86" s="94">
        <f t="shared" si="73"/>
        <v>15.462255388236862</v>
      </c>
      <c r="AV86" s="92">
        <f t="shared" si="74"/>
        <v>260.7</v>
      </c>
      <c r="AW86" s="95">
        <f t="shared" si="75"/>
        <v>94.401025090666508</v>
      </c>
    </row>
    <row r="87" spans="17:49" x14ac:dyDescent="0.25">
      <c r="Q87" s="32">
        <v>80</v>
      </c>
      <c r="R87" s="94">
        <f t="shared" si="49"/>
        <v>45</v>
      </c>
      <c r="S87" s="92">
        <f t="shared" si="50"/>
        <v>5.8666666666666671</v>
      </c>
      <c r="T87" s="92">
        <f t="shared" si="51"/>
        <v>14.4</v>
      </c>
      <c r="U87" s="95">
        <f t="shared" si="52"/>
        <v>18.333333333333332</v>
      </c>
      <c r="V87" s="94">
        <f>IF(Variable_Management!$B$23=3,2,IF((S87*R87/T87)&lt;((T87*(1-(T87/R87)))/(2*Lm*Fsw)),1,2))</f>
        <v>2</v>
      </c>
      <c r="W87" s="92">
        <f t="shared" si="53"/>
        <v>0.67999999999999994</v>
      </c>
      <c r="X87" s="95">
        <f t="shared" si="54"/>
        <v>0.32000000000000006</v>
      </c>
      <c r="Y87" s="94">
        <f t="shared" si="55"/>
        <v>7.4181818181818189</v>
      </c>
      <c r="Z87" s="92">
        <f t="shared" si="77"/>
        <v>22.042424242424243</v>
      </c>
      <c r="AA87" s="92">
        <f t="shared" si="78"/>
        <v>18.457976493512987</v>
      </c>
      <c r="AB87" s="92">
        <v>0</v>
      </c>
      <c r="AC87" s="92">
        <f t="shared" si="56"/>
        <v>2.0441813774104678</v>
      </c>
      <c r="AD87" s="95">
        <f t="shared" si="67"/>
        <v>2.0441813774104678</v>
      </c>
      <c r="AE87" s="94">
        <f t="shared" si="76"/>
        <v>12.466666666666665</v>
      </c>
      <c r="AF87" s="92">
        <f t="shared" si="68"/>
        <v>15.220837343584387</v>
      </c>
      <c r="AG87" s="92">
        <f t="shared" si="57"/>
        <v>1.6217172260789712</v>
      </c>
      <c r="AH87" s="92">
        <f t="shared" si="58"/>
        <v>5.7488839285714288</v>
      </c>
      <c r="AI87" s="95">
        <f t="shared" si="69"/>
        <v>7.3706011546503998</v>
      </c>
      <c r="AJ87" s="94">
        <f t="shared" si="70"/>
        <v>5.8666666666666671</v>
      </c>
      <c r="AK87" s="92">
        <f t="shared" si="59"/>
        <v>10.441408276435942</v>
      </c>
      <c r="AL87" s="92">
        <f t="shared" si="60"/>
        <v>0.76316104756657488</v>
      </c>
      <c r="AM87" s="92">
        <f t="shared" si="71"/>
        <v>0.34846000000000005</v>
      </c>
      <c r="AN87" s="211">
        <f t="shared" si="61"/>
        <v>0.37472121212121218</v>
      </c>
      <c r="AO87" s="95">
        <f t="shared" si="72"/>
        <v>1.4863422596877871</v>
      </c>
      <c r="AP87" s="94">
        <f t="shared" si="62"/>
        <v>0.51104534435261695</v>
      </c>
      <c r="AQ87" s="230">
        <f t="shared" si="63"/>
        <v>2.0441813774104678</v>
      </c>
      <c r="AR87" s="230">
        <f t="shared" si="64"/>
        <v>2.2167935757072685</v>
      </c>
      <c r="AS87" s="92">
        <f t="shared" si="65"/>
        <v>3.6000000000000004E-2</v>
      </c>
      <c r="AT87" s="95">
        <f t="shared" si="66"/>
        <v>4.7519999999999999E-5</v>
      </c>
      <c r="AU87" s="94">
        <f t="shared" si="73"/>
        <v>15.709192609219006</v>
      </c>
      <c r="AV87" s="92">
        <f t="shared" si="74"/>
        <v>264</v>
      </c>
      <c r="AW87" s="95">
        <f t="shared" si="75"/>
        <v>94.383741033793513</v>
      </c>
    </row>
    <row r="88" spans="17:49" x14ac:dyDescent="0.25">
      <c r="Q88" s="32">
        <v>81</v>
      </c>
      <c r="R88" s="94">
        <f t="shared" si="49"/>
        <v>45</v>
      </c>
      <c r="S88" s="92">
        <f t="shared" si="50"/>
        <v>5.94</v>
      </c>
      <c r="T88" s="92">
        <f t="shared" si="51"/>
        <v>14.4</v>
      </c>
      <c r="U88" s="95">
        <f t="shared" si="52"/>
        <v>18.5625</v>
      </c>
      <c r="V88" s="94">
        <f>IF(Variable_Management!$B$23=3,2,IF((S88*R88/T88)&lt;((T88*(1-(T88/R88)))/(2*Lm*Fsw)),1,2))</f>
        <v>2</v>
      </c>
      <c r="W88" s="92">
        <f t="shared" si="53"/>
        <v>0.67999999999999994</v>
      </c>
      <c r="X88" s="95">
        <f t="shared" si="54"/>
        <v>0.32000000000000006</v>
      </c>
      <c r="Y88" s="94">
        <f t="shared" si="55"/>
        <v>7.4181818181818189</v>
      </c>
      <c r="Z88" s="92">
        <f t="shared" si="77"/>
        <v>22.271590909090911</v>
      </c>
      <c r="AA88" s="92">
        <f t="shared" si="78"/>
        <v>18.685614557032022</v>
      </c>
      <c r="AB88" s="92">
        <v>0</v>
      </c>
      <c r="AC88" s="92">
        <f t="shared" si="56"/>
        <v>2.0949131482438021</v>
      </c>
      <c r="AD88" s="95">
        <f t="shared" si="67"/>
        <v>2.0949131482438021</v>
      </c>
      <c r="AE88" s="94">
        <f t="shared" si="76"/>
        <v>12.622499999999999</v>
      </c>
      <c r="AF88" s="92">
        <f t="shared" si="68"/>
        <v>15.408552499644394</v>
      </c>
      <c r="AG88" s="92">
        <f t="shared" si="57"/>
        <v>1.6619644309400825</v>
      </c>
      <c r="AH88" s="92">
        <f t="shared" si="58"/>
        <v>5.8207449776785714</v>
      </c>
      <c r="AI88" s="95">
        <f t="shared" si="69"/>
        <v>7.4827094086186534</v>
      </c>
      <c r="AJ88" s="94">
        <f t="shared" si="70"/>
        <v>5.9400000000000013</v>
      </c>
      <c r="AK88" s="92">
        <f t="shared" si="59"/>
        <v>10.570179811132327</v>
      </c>
      <c r="AL88" s="92">
        <f t="shared" si="60"/>
        <v>0.782100908677686</v>
      </c>
      <c r="AM88" s="92">
        <f t="shared" si="71"/>
        <v>0.34846000000000005</v>
      </c>
      <c r="AN88" s="211">
        <f t="shared" si="61"/>
        <v>0.3786170454545455</v>
      </c>
      <c r="AO88" s="95">
        <f t="shared" si="72"/>
        <v>1.5091779541322314</v>
      </c>
      <c r="AP88" s="94">
        <f t="shared" si="62"/>
        <v>0.52372828706095054</v>
      </c>
      <c r="AQ88" s="230">
        <f t="shared" si="63"/>
        <v>2.0949131482438021</v>
      </c>
      <c r="AR88" s="230">
        <f t="shared" si="64"/>
        <v>2.2167935757072685</v>
      </c>
      <c r="AS88" s="92">
        <f t="shared" si="65"/>
        <v>3.6000000000000004E-2</v>
      </c>
      <c r="AT88" s="95">
        <f t="shared" si="66"/>
        <v>4.7519999999999999E-5</v>
      </c>
      <c r="AU88" s="94">
        <f t="shared" si="73"/>
        <v>15.958283042006705</v>
      </c>
      <c r="AV88" s="92">
        <f t="shared" si="74"/>
        <v>267.3</v>
      </c>
      <c r="AW88" s="95">
        <f t="shared" si="75"/>
        <v>94.36617250142686</v>
      </c>
    </row>
    <row r="89" spans="17:49" x14ac:dyDescent="0.25">
      <c r="Q89" s="32">
        <v>82</v>
      </c>
      <c r="R89" s="94">
        <f t="shared" si="49"/>
        <v>45</v>
      </c>
      <c r="S89" s="92">
        <f t="shared" si="50"/>
        <v>6.0133333333333336</v>
      </c>
      <c r="T89" s="92">
        <f t="shared" si="51"/>
        <v>14.4</v>
      </c>
      <c r="U89" s="95">
        <f t="shared" si="52"/>
        <v>18.791666666666668</v>
      </c>
      <c r="V89" s="94">
        <f>IF(Variable_Management!$B$23=3,2,IF((S89*R89/T89)&lt;((T89*(1-(T89/R89)))/(2*Lm*Fsw)),1,2))</f>
        <v>2</v>
      </c>
      <c r="W89" s="92">
        <f t="shared" si="53"/>
        <v>0.67999999999999994</v>
      </c>
      <c r="X89" s="95">
        <f t="shared" si="54"/>
        <v>0.32000000000000006</v>
      </c>
      <c r="Y89" s="94">
        <f t="shared" si="55"/>
        <v>7.4181818181818189</v>
      </c>
      <c r="Z89" s="92">
        <f t="shared" si="77"/>
        <v>22.500757575757579</v>
      </c>
      <c r="AA89" s="92">
        <f t="shared" si="78"/>
        <v>18.913289540296212</v>
      </c>
      <c r="AB89" s="92">
        <v>0</v>
      </c>
      <c r="AC89" s="92">
        <f t="shared" si="56"/>
        <v>2.1462751274104686</v>
      </c>
      <c r="AD89" s="95">
        <f t="shared" si="67"/>
        <v>2.1462751274104686</v>
      </c>
      <c r="AE89" s="94">
        <f t="shared" si="76"/>
        <v>12.778333333333332</v>
      </c>
      <c r="AF89" s="92">
        <f t="shared" si="68"/>
        <v>15.596298100506193</v>
      </c>
      <c r="AG89" s="92">
        <f t="shared" si="57"/>
        <v>1.7027116010789716</v>
      </c>
      <c r="AH89" s="92">
        <f t="shared" si="58"/>
        <v>5.8926060267857139</v>
      </c>
      <c r="AI89" s="95">
        <f t="shared" si="69"/>
        <v>7.5953176278646852</v>
      </c>
      <c r="AJ89" s="94">
        <f t="shared" si="70"/>
        <v>6.0133333333333345</v>
      </c>
      <c r="AK89" s="92">
        <f t="shared" si="59"/>
        <v>10.698972230790442</v>
      </c>
      <c r="AL89" s="92">
        <f t="shared" si="60"/>
        <v>0.80127604756657511</v>
      </c>
      <c r="AM89" s="92">
        <f t="shared" si="71"/>
        <v>0.34846000000000005</v>
      </c>
      <c r="AN89" s="211">
        <f t="shared" si="61"/>
        <v>0.38251287878787887</v>
      </c>
      <c r="AO89" s="95">
        <f t="shared" si="72"/>
        <v>1.5322489263544541</v>
      </c>
      <c r="AP89" s="94">
        <f t="shared" si="62"/>
        <v>0.53656878185261714</v>
      </c>
      <c r="AQ89" s="230">
        <f t="shared" si="63"/>
        <v>2.1462751274104686</v>
      </c>
      <c r="AR89" s="230">
        <f t="shared" si="64"/>
        <v>2.2167935757072685</v>
      </c>
      <c r="AS89" s="92">
        <f t="shared" si="65"/>
        <v>3.6000000000000004E-2</v>
      </c>
      <c r="AT89" s="95">
        <f t="shared" si="66"/>
        <v>4.7519999999999999E-5</v>
      </c>
      <c r="AU89" s="94">
        <f t="shared" si="73"/>
        <v>16.209526686599965</v>
      </c>
      <c r="AV89" s="92">
        <f t="shared" si="74"/>
        <v>270.60000000000002</v>
      </c>
      <c r="AW89" s="95">
        <f t="shared" si="75"/>
        <v>94.348330449876471</v>
      </c>
    </row>
    <row r="90" spans="17:49" x14ac:dyDescent="0.25">
      <c r="Q90" s="32">
        <v>83</v>
      </c>
      <c r="R90" s="94">
        <f t="shared" si="49"/>
        <v>45</v>
      </c>
      <c r="S90" s="92">
        <f t="shared" si="50"/>
        <v>6.0866666666666669</v>
      </c>
      <c r="T90" s="92">
        <f t="shared" si="51"/>
        <v>14.4</v>
      </c>
      <c r="U90" s="95">
        <f t="shared" si="52"/>
        <v>19.020833333333336</v>
      </c>
      <c r="V90" s="94">
        <f>IF(Variable_Management!$B$23=3,2,IF((S90*R90/T90)&lt;((T90*(1-(T90/R90)))/(2*Lm*Fsw)),1,2))</f>
        <v>2</v>
      </c>
      <c r="W90" s="92">
        <f t="shared" si="53"/>
        <v>0.67999999999999994</v>
      </c>
      <c r="X90" s="95">
        <f t="shared" si="54"/>
        <v>0.32000000000000006</v>
      </c>
      <c r="Y90" s="94">
        <f t="shared" si="55"/>
        <v>7.4181818181818189</v>
      </c>
      <c r="Z90" s="92">
        <f t="shared" si="77"/>
        <v>22.729924242424246</v>
      </c>
      <c r="AA90" s="92">
        <f t="shared" si="78"/>
        <v>19.141000125866242</v>
      </c>
      <c r="AB90" s="92">
        <v>0</v>
      </c>
      <c r="AC90" s="92">
        <f t="shared" si="56"/>
        <v>2.1982673149104688</v>
      </c>
      <c r="AD90" s="95">
        <f t="shared" si="67"/>
        <v>2.1982673149104688</v>
      </c>
      <c r="AE90" s="94">
        <f t="shared" si="76"/>
        <v>12.934166666666668</v>
      </c>
      <c r="AF90" s="92">
        <f t="shared" si="68"/>
        <v>15.784073059781491</v>
      </c>
      <c r="AG90" s="92">
        <f t="shared" si="57"/>
        <v>1.7439587364956388</v>
      </c>
      <c r="AH90" s="92">
        <f t="shared" si="58"/>
        <v>5.9644670758928582</v>
      </c>
      <c r="AI90" s="95">
        <f t="shared" si="69"/>
        <v>7.708425812388497</v>
      </c>
      <c r="AJ90" s="94">
        <f t="shared" si="70"/>
        <v>6.0866666666666687</v>
      </c>
      <c r="AK90" s="92">
        <f t="shared" si="59"/>
        <v>10.827784790154066</v>
      </c>
      <c r="AL90" s="92">
        <f t="shared" si="60"/>
        <v>0.8206864642332421</v>
      </c>
      <c r="AM90" s="92">
        <f t="shared" si="71"/>
        <v>0.34846000000000005</v>
      </c>
      <c r="AN90" s="211">
        <f t="shared" si="61"/>
        <v>0.38640871212121219</v>
      </c>
      <c r="AO90" s="95">
        <f t="shared" si="72"/>
        <v>1.5555551763544542</v>
      </c>
      <c r="AP90" s="94">
        <f t="shared" si="62"/>
        <v>0.5495668287276172</v>
      </c>
      <c r="AQ90" s="230">
        <f t="shared" si="63"/>
        <v>2.1982673149104688</v>
      </c>
      <c r="AR90" s="230">
        <f t="shared" si="64"/>
        <v>2.2167935757072685</v>
      </c>
      <c r="AS90" s="92">
        <f t="shared" si="65"/>
        <v>3.6000000000000004E-2</v>
      </c>
      <c r="AT90" s="95">
        <f t="shared" si="66"/>
        <v>4.7519999999999999E-5</v>
      </c>
      <c r="AU90" s="94">
        <f t="shared" si="73"/>
        <v>16.462923542998773</v>
      </c>
      <c r="AV90" s="92">
        <f t="shared" si="74"/>
        <v>273.90000000000003</v>
      </c>
      <c r="AW90" s="95">
        <f t="shared" si="75"/>
        <v>94.330225311786108</v>
      </c>
    </row>
    <row r="91" spans="17:49" x14ac:dyDescent="0.25">
      <c r="Q91" s="32">
        <v>84</v>
      </c>
      <c r="R91" s="94">
        <f t="shared" si="49"/>
        <v>45</v>
      </c>
      <c r="S91" s="92">
        <f t="shared" si="50"/>
        <v>6.16</v>
      </c>
      <c r="T91" s="92">
        <f t="shared" si="51"/>
        <v>14.4</v>
      </c>
      <c r="U91" s="95">
        <f t="shared" si="52"/>
        <v>19.25</v>
      </c>
      <c r="V91" s="94">
        <f>IF(Variable_Management!$B$23=3,2,IF((S91*R91/T91)&lt;((T91*(1-(T91/R91)))/(2*Lm*Fsw)),1,2))</f>
        <v>2</v>
      </c>
      <c r="W91" s="92">
        <f t="shared" si="53"/>
        <v>0.67999999999999994</v>
      </c>
      <c r="X91" s="95">
        <f t="shared" si="54"/>
        <v>0.32000000000000006</v>
      </c>
      <c r="Y91" s="94">
        <f t="shared" si="55"/>
        <v>7.4181818181818189</v>
      </c>
      <c r="Z91" s="92">
        <f t="shared" si="77"/>
        <v>22.959090909090911</v>
      </c>
      <c r="AA91" s="92">
        <f t="shared" si="78"/>
        <v>19.368745058055953</v>
      </c>
      <c r="AB91" s="92">
        <v>0</v>
      </c>
      <c r="AC91" s="92">
        <f t="shared" si="56"/>
        <v>2.2508897107438015</v>
      </c>
      <c r="AD91" s="95">
        <f t="shared" si="67"/>
        <v>2.2508897107438015</v>
      </c>
      <c r="AE91" s="94">
        <f t="shared" si="76"/>
        <v>13.089999999999998</v>
      </c>
      <c r="AF91" s="92">
        <f t="shared" si="68"/>
        <v>15.971876342004954</v>
      </c>
      <c r="AG91" s="92">
        <f t="shared" si="57"/>
        <v>1.7857058371900829</v>
      </c>
      <c r="AH91" s="92">
        <f t="shared" si="58"/>
        <v>6.0363281249999998</v>
      </c>
      <c r="AI91" s="95">
        <f t="shared" si="69"/>
        <v>7.8220339621900825</v>
      </c>
      <c r="AJ91" s="94">
        <f t="shared" si="70"/>
        <v>6.160000000000001</v>
      </c>
      <c r="AK91" s="92">
        <f t="shared" si="59"/>
        <v>10.956616778899839</v>
      </c>
      <c r="AL91" s="92">
        <f t="shared" si="60"/>
        <v>0.8403321586776864</v>
      </c>
      <c r="AM91" s="92">
        <f t="shared" si="71"/>
        <v>0.34846000000000005</v>
      </c>
      <c r="AN91" s="211">
        <f t="shared" si="61"/>
        <v>0.39030454545454552</v>
      </c>
      <c r="AO91" s="95">
        <f t="shared" si="72"/>
        <v>1.5790967041322319</v>
      </c>
      <c r="AP91" s="94">
        <f t="shared" si="62"/>
        <v>0.56272242768595038</v>
      </c>
      <c r="AQ91" s="230">
        <f t="shared" si="63"/>
        <v>2.2508897107438015</v>
      </c>
      <c r="AR91" s="230">
        <f t="shared" si="64"/>
        <v>2.2167935757072685</v>
      </c>
      <c r="AS91" s="92">
        <f t="shared" si="65"/>
        <v>3.6000000000000004E-2</v>
      </c>
      <c r="AT91" s="95">
        <f t="shared" si="66"/>
        <v>4.7519999999999999E-5</v>
      </c>
      <c r="AU91" s="94">
        <f t="shared" si="73"/>
        <v>16.718473611203137</v>
      </c>
      <c r="AV91" s="92">
        <f t="shared" si="74"/>
        <v>277.2</v>
      </c>
      <c r="AW91" s="95">
        <f t="shared" si="75"/>
        <v>94.311867027004766</v>
      </c>
    </row>
    <row r="92" spans="17:49" x14ac:dyDescent="0.25">
      <c r="Q92" s="32">
        <v>85</v>
      </c>
      <c r="R92" s="94">
        <f t="shared" si="49"/>
        <v>45</v>
      </c>
      <c r="S92" s="92">
        <f t="shared" si="50"/>
        <v>6.2333333333333334</v>
      </c>
      <c r="T92" s="92">
        <f t="shared" si="51"/>
        <v>14.4</v>
      </c>
      <c r="U92" s="95">
        <f t="shared" si="52"/>
        <v>19.479166666666668</v>
      </c>
      <c r="V92" s="94">
        <f>IF(Variable_Management!$B$23=3,2,IF((S92*R92/T92)&lt;((T92*(1-(T92/R92)))/(2*Lm*Fsw)),1,2))</f>
        <v>2</v>
      </c>
      <c r="W92" s="92">
        <f t="shared" si="53"/>
        <v>0.67999999999999994</v>
      </c>
      <c r="X92" s="95">
        <f t="shared" si="54"/>
        <v>0.32000000000000006</v>
      </c>
      <c r="Y92" s="94">
        <f t="shared" si="55"/>
        <v>7.4181818181818189</v>
      </c>
      <c r="Z92" s="92">
        <f t="shared" si="77"/>
        <v>23.188257575757579</v>
      </c>
      <c r="AA92" s="92">
        <f t="shared" si="78"/>
        <v>19.596523139366962</v>
      </c>
      <c r="AB92" s="92">
        <v>0</v>
      </c>
      <c r="AC92" s="92">
        <f t="shared" si="56"/>
        <v>2.3041423149104689</v>
      </c>
      <c r="AD92" s="95">
        <f t="shared" si="67"/>
        <v>2.3041423149104689</v>
      </c>
      <c r="AE92" s="94">
        <f t="shared" si="76"/>
        <v>13.245833333333334</v>
      </c>
      <c r="AF92" s="92">
        <f t="shared" si="68"/>
        <v>16.159706959694116</v>
      </c>
      <c r="AG92" s="92">
        <f t="shared" si="57"/>
        <v>1.8279529031623054</v>
      </c>
      <c r="AH92" s="92">
        <f t="shared" si="58"/>
        <v>6.1081891741071423</v>
      </c>
      <c r="AI92" s="95">
        <f t="shared" si="69"/>
        <v>7.936142077269448</v>
      </c>
      <c r="AJ92" s="94">
        <f t="shared" si="70"/>
        <v>6.2333333333333352</v>
      </c>
      <c r="AK92" s="92">
        <f t="shared" si="59"/>
        <v>11.085467519620376</v>
      </c>
      <c r="AL92" s="92">
        <f t="shared" si="60"/>
        <v>0.86021313089990847</v>
      </c>
      <c r="AM92" s="92">
        <f t="shared" si="71"/>
        <v>0.34846000000000005</v>
      </c>
      <c r="AN92" s="211">
        <f t="shared" si="61"/>
        <v>0.39420037878787889</v>
      </c>
      <c r="AO92" s="95">
        <f t="shared" si="72"/>
        <v>1.6028735096877875</v>
      </c>
      <c r="AP92" s="94">
        <f t="shared" si="62"/>
        <v>0.57603557872761724</v>
      </c>
      <c r="AQ92" s="230">
        <f t="shared" si="63"/>
        <v>2.3041423149104689</v>
      </c>
      <c r="AR92" s="230">
        <f t="shared" si="64"/>
        <v>2.2167935757072685</v>
      </c>
      <c r="AS92" s="92">
        <f t="shared" si="65"/>
        <v>3.6000000000000004E-2</v>
      </c>
      <c r="AT92" s="95">
        <f t="shared" si="66"/>
        <v>4.7519999999999999E-5</v>
      </c>
      <c r="AU92" s="94">
        <f t="shared" si="73"/>
        <v>16.976176891213058</v>
      </c>
      <c r="AV92" s="92">
        <f t="shared" si="74"/>
        <v>280.5</v>
      </c>
      <c r="AW92" s="95">
        <f t="shared" si="75"/>
        <v>94.293265071299729</v>
      </c>
    </row>
    <row r="93" spans="17:49" x14ac:dyDescent="0.25">
      <c r="Q93" s="32">
        <v>86</v>
      </c>
      <c r="R93" s="94">
        <f t="shared" si="49"/>
        <v>45</v>
      </c>
      <c r="S93" s="92">
        <f t="shared" si="50"/>
        <v>6.3066666666666666</v>
      </c>
      <c r="T93" s="92">
        <f t="shared" si="51"/>
        <v>14.4</v>
      </c>
      <c r="U93" s="95">
        <f t="shared" si="52"/>
        <v>19.708333333333332</v>
      </c>
      <c r="V93" s="94">
        <f>IF(Variable_Management!$B$23=3,2,IF((S93*R93/T93)&lt;((T93*(1-(T93/R93)))/(2*Lm*Fsw)),1,2))</f>
        <v>2</v>
      </c>
      <c r="W93" s="92">
        <f t="shared" si="53"/>
        <v>0.67999999999999994</v>
      </c>
      <c r="X93" s="95">
        <f t="shared" si="54"/>
        <v>0.32000000000000006</v>
      </c>
      <c r="Y93" s="94">
        <f t="shared" si="55"/>
        <v>7.4181818181818189</v>
      </c>
      <c r="Z93" s="92">
        <f t="shared" si="77"/>
        <v>23.417424242424243</v>
      </c>
      <c r="AA93" s="92">
        <f t="shared" si="78"/>
        <v>19.824333227166676</v>
      </c>
      <c r="AB93" s="92">
        <v>0</v>
      </c>
      <c r="AC93" s="92">
        <f t="shared" si="56"/>
        <v>2.3580251274104684</v>
      </c>
      <c r="AD93" s="95">
        <f t="shared" si="67"/>
        <v>2.3580251274104684</v>
      </c>
      <c r="AE93" s="94">
        <f t="shared" si="76"/>
        <v>13.401666666666666</v>
      </c>
      <c r="AF93" s="92">
        <f t="shared" si="68"/>
        <v>16.347563970610008</v>
      </c>
      <c r="AG93" s="92">
        <f t="shared" si="57"/>
        <v>1.8706999344123052</v>
      </c>
      <c r="AH93" s="92">
        <f t="shared" si="58"/>
        <v>6.1800502232142858</v>
      </c>
      <c r="AI93" s="95">
        <f t="shared" si="69"/>
        <v>8.0507501576265916</v>
      </c>
      <c r="AJ93" s="94">
        <f t="shared" si="70"/>
        <v>6.3066666666666675</v>
      </c>
      <c r="AK93" s="92">
        <f t="shared" si="59"/>
        <v>11.214336365945082</v>
      </c>
      <c r="AL93" s="92">
        <f t="shared" si="60"/>
        <v>0.88032938089990842</v>
      </c>
      <c r="AM93" s="92">
        <f t="shared" si="71"/>
        <v>0.34846000000000005</v>
      </c>
      <c r="AN93" s="211">
        <f t="shared" si="61"/>
        <v>0.39809621212121216</v>
      </c>
      <c r="AO93" s="95">
        <f t="shared" si="72"/>
        <v>1.6268855930211206</v>
      </c>
      <c r="AP93" s="94">
        <f t="shared" si="62"/>
        <v>0.58950628185261711</v>
      </c>
      <c r="AQ93" s="230">
        <f t="shared" si="63"/>
        <v>2.3580251274104684</v>
      </c>
      <c r="AR93" s="230">
        <f t="shared" si="64"/>
        <v>2.2167935757072685</v>
      </c>
      <c r="AS93" s="92">
        <f t="shared" si="65"/>
        <v>3.6000000000000004E-2</v>
      </c>
      <c r="AT93" s="95">
        <f t="shared" si="66"/>
        <v>4.7519999999999999E-5</v>
      </c>
      <c r="AU93" s="94">
        <f t="shared" si="73"/>
        <v>17.236033383028534</v>
      </c>
      <c r="AV93" s="92">
        <f t="shared" si="74"/>
        <v>283.8</v>
      </c>
      <c r="AW93" s="95">
        <f t="shared" si="75"/>
        <v>94.274428483085288</v>
      </c>
    </row>
    <row r="94" spans="17:49" x14ac:dyDescent="0.25">
      <c r="Q94" s="32">
        <v>87</v>
      </c>
      <c r="R94" s="94">
        <f t="shared" si="49"/>
        <v>45</v>
      </c>
      <c r="S94" s="92">
        <f t="shared" si="50"/>
        <v>6.38</v>
      </c>
      <c r="T94" s="92">
        <f t="shared" si="51"/>
        <v>14.4</v>
      </c>
      <c r="U94" s="95">
        <f t="shared" si="52"/>
        <v>19.9375</v>
      </c>
      <c r="V94" s="94">
        <f>IF(Variable_Management!$B$23=3,2,IF((S94*R94/T94)&lt;((T94*(1-(T94/R94)))/(2*Lm*Fsw)),1,2))</f>
        <v>2</v>
      </c>
      <c r="W94" s="92">
        <f t="shared" si="53"/>
        <v>0.67999999999999994</v>
      </c>
      <c r="X94" s="95">
        <f t="shared" si="54"/>
        <v>0.32000000000000006</v>
      </c>
      <c r="Y94" s="94">
        <f t="shared" si="55"/>
        <v>7.4181818181818189</v>
      </c>
      <c r="Z94" s="92">
        <f t="shared" si="77"/>
        <v>23.646590909090911</v>
      </c>
      <c r="AA94" s="92">
        <f t="shared" si="78"/>
        <v>20.05217423059073</v>
      </c>
      <c r="AB94" s="92">
        <v>0</v>
      </c>
      <c r="AC94" s="92">
        <f t="shared" si="56"/>
        <v>2.4125381482438013</v>
      </c>
      <c r="AD94" s="95">
        <f t="shared" si="67"/>
        <v>2.4125381482438013</v>
      </c>
      <c r="AE94" s="94">
        <f t="shared" si="76"/>
        <v>13.557499999999999</v>
      </c>
      <c r="AF94" s="92">
        <f t="shared" si="68"/>
        <v>16.535446475202825</v>
      </c>
      <c r="AG94" s="92">
        <f t="shared" si="57"/>
        <v>1.9139469309400827</v>
      </c>
      <c r="AH94" s="92">
        <f t="shared" si="58"/>
        <v>6.2519112723214283</v>
      </c>
      <c r="AI94" s="95">
        <f t="shared" si="69"/>
        <v>8.1658582032615108</v>
      </c>
      <c r="AJ94" s="94">
        <f t="shared" si="70"/>
        <v>6.3800000000000017</v>
      </c>
      <c r="AK94" s="92">
        <f t="shared" si="59"/>
        <v>11.343222700787878</v>
      </c>
      <c r="AL94" s="92">
        <f t="shared" si="60"/>
        <v>0.90068090867768613</v>
      </c>
      <c r="AM94" s="92">
        <f t="shared" si="71"/>
        <v>0.34846000000000005</v>
      </c>
      <c r="AN94" s="211">
        <f t="shared" si="61"/>
        <v>0.40199204545454553</v>
      </c>
      <c r="AO94" s="95">
        <f t="shared" si="72"/>
        <v>1.6511329541322317</v>
      </c>
      <c r="AP94" s="94">
        <f t="shared" si="62"/>
        <v>0.60313453706095033</v>
      </c>
      <c r="AQ94" s="230">
        <f t="shared" si="63"/>
        <v>2.4125381482438013</v>
      </c>
      <c r="AR94" s="230">
        <f t="shared" si="64"/>
        <v>2.2167935757072685</v>
      </c>
      <c r="AS94" s="92">
        <f t="shared" si="65"/>
        <v>3.6000000000000004E-2</v>
      </c>
      <c r="AT94" s="95">
        <f t="shared" si="66"/>
        <v>4.7519999999999999E-5</v>
      </c>
      <c r="AU94" s="94">
        <f t="shared" si="73"/>
        <v>17.498043086649563</v>
      </c>
      <c r="AV94" s="92">
        <f t="shared" si="74"/>
        <v>287.10000000000002</v>
      </c>
      <c r="AW94" s="95">
        <f t="shared" si="75"/>
        <v>94.255365888325215</v>
      </c>
    </row>
    <row r="95" spans="17:49" x14ac:dyDescent="0.25">
      <c r="Q95" s="32">
        <v>88</v>
      </c>
      <c r="R95" s="94">
        <f t="shared" si="49"/>
        <v>45</v>
      </c>
      <c r="S95" s="92">
        <f t="shared" si="50"/>
        <v>6.4533333333333331</v>
      </c>
      <c r="T95" s="92">
        <f t="shared" si="51"/>
        <v>14.4</v>
      </c>
      <c r="U95" s="95">
        <f t="shared" si="52"/>
        <v>20.166666666666664</v>
      </c>
      <c r="V95" s="94">
        <f>IF(Variable_Management!$B$23=3,2,IF((S95*R95/T95)&lt;((T95*(1-(T95/R95)))/(2*Lm*Fsw)),1,2))</f>
        <v>2</v>
      </c>
      <c r="W95" s="92">
        <f t="shared" si="53"/>
        <v>0.67999999999999994</v>
      </c>
      <c r="X95" s="95">
        <f t="shared" si="54"/>
        <v>0.32000000000000006</v>
      </c>
      <c r="Y95" s="94">
        <f t="shared" si="55"/>
        <v>7.4181818181818189</v>
      </c>
      <c r="Z95" s="92">
        <f t="shared" si="77"/>
        <v>23.875757575757575</v>
      </c>
      <c r="AA95" s="92">
        <f t="shared" si="78"/>
        <v>20.280045107652285</v>
      </c>
      <c r="AB95" s="92">
        <v>0</v>
      </c>
      <c r="AC95" s="92">
        <f t="shared" si="56"/>
        <v>2.467681377410468</v>
      </c>
      <c r="AD95" s="95">
        <f t="shared" si="67"/>
        <v>2.467681377410468</v>
      </c>
      <c r="AE95" s="94">
        <f t="shared" si="76"/>
        <v>13.713333333333331</v>
      </c>
      <c r="AF95" s="92">
        <f t="shared" si="68"/>
        <v>16.723353614228209</v>
      </c>
      <c r="AG95" s="92">
        <f t="shared" si="57"/>
        <v>1.957693892745638</v>
      </c>
      <c r="AH95" s="92">
        <f t="shared" si="58"/>
        <v>6.3237723214285699</v>
      </c>
      <c r="AI95" s="95">
        <f t="shared" si="69"/>
        <v>8.2814662141742073</v>
      </c>
      <c r="AJ95" s="94">
        <f t="shared" si="70"/>
        <v>6.453333333333334</v>
      </c>
      <c r="AK95" s="92">
        <f t="shared" si="59"/>
        <v>11.472125934712</v>
      </c>
      <c r="AL95" s="92">
        <f t="shared" si="60"/>
        <v>0.92126771423324172</v>
      </c>
      <c r="AM95" s="92">
        <f t="shared" si="71"/>
        <v>0.34846000000000005</v>
      </c>
      <c r="AN95" s="211">
        <f t="shared" si="61"/>
        <v>0.4058878787878788</v>
      </c>
      <c r="AO95" s="95">
        <f t="shared" si="72"/>
        <v>1.6756155930211205</v>
      </c>
      <c r="AP95" s="94">
        <f t="shared" si="62"/>
        <v>0.616920344352617</v>
      </c>
      <c r="AQ95" s="230">
        <f t="shared" si="63"/>
        <v>2.467681377410468</v>
      </c>
      <c r="AR95" s="230">
        <f t="shared" si="64"/>
        <v>2.2167935757072685</v>
      </c>
      <c r="AS95" s="92">
        <f t="shared" si="65"/>
        <v>3.6000000000000004E-2</v>
      </c>
      <c r="AT95" s="95">
        <f t="shared" si="66"/>
        <v>4.7519999999999999E-5</v>
      </c>
      <c r="AU95" s="94">
        <f t="shared" si="73"/>
        <v>17.762206002076148</v>
      </c>
      <c r="AV95" s="92">
        <f t="shared" si="74"/>
        <v>290.39999999999998</v>
      </c>
      <c r="AW95" s="95">
        <f t="shared" si="75"/>
        <v>94.236085523752877</v>
      </c>
    </row>
    <row r="96" spans="17:49" x14ac:dyDescent="0.25">
      <c r="Q96" s="32">
        <v>89</v>
      </c>
      <c r="R96" s="94">
        <f t="shared" si="49"/>
        <v>45</v>
      </c>
      <c r="S96" s="92">
        <f t="shared" si="50"/>
        <v>6.5266666666666664</v>
      </c>
      <c r="T96" s="92">
        <f t="shared" si="51"/>
        <v>14.4</v>
      </c>
      <c r="U96" s="95">
        <f t="shared" si="52"/>
        <v>20.395833333333332</v>
      </c>
      <c r="V96" s="94">
        <f>IF(Variable_Management!$B$23=3,2,IF((S96*R96/T96)&lt;((T96*(1-(T96/R96)))/(2*Lm*Fsw)),1,2))</f>
        <v>2</v>
      </c>
      <c r="W96" s="92">
        <f t="shared" si="53"/>
        <v>0.67999999999999994</v>
      </c>
      <c r="X96" s="95">
        <f t="shared" si="54"/>
        <v>0.32000000000000006</v>
      </c>
      <c r="Y96" s="94">
        <f t="shared" si="55"/>
        <v>7.4181818181818189</v>
      </c>
      <c r="Z96" s="92">
        <f t="shared" si="77"/>
        <v>24.104924242424243</v>
      </c>
      <c r="AA96" s="92">
        <f t="shared" si="78"/>
        <v>20.50794486254237</v>
      </c>
      <c r="AB96" s="92">
        <v>0</v>
      </c>
      <c r="AC96" s="92">
        <f t="shared" si="56"/>
        <v>2.5234548149104681</v>
      </c>
      <c r="AD96" s="95">
        <f t="shared" si="67"/>
        <v>2.5234548149104681</v>
      </c>
      <c r="AE96" s="94">
        <f t="shared" si="76"/>
        <v>13.869166666666665</v>
      </c>
      <c r="AF96" s="92">
        <f t="shared" si="68"/>
        <v>16.911284566521047</v>
      </c>
      <c r="AG96" s="92">
        <f t="shared" si="57"/>
        <v>2.0019408198289708</v>
      </c>
      <c r="AH96" s="92">
        <f t="shared" si="58"/>
        <v>6.3956333705357142</v>
      </c>
      <c r="AI96" s="95">
        <f t="shared" si="69"/>
        <v>8.3975741903646846</v>
      </c>
      <c r="AJ96" s="94">
        <f t="shared" si="70"/>
        <v>6.5266666666666673</v>
      </c>
      <c r="AK96" s="92">
        <f t="shared" si="59"/>
        <v>11.601045504402824</v>
      </c>
      <c r="AL96" s="92">
        <f t="shared" si="60"/>
        <v>0.94208979756657485</v>
      </c>
      <c r="AM96" s="92">
        <f t="shared" si="71"/>
        <v>0.34846000000000005</v>
      </c>
      <c r="AN96" s="211">
        <f t="shared" si="61"/>
        <v>0.40978371212121217</v>
      </c>
      <c r="AO96" s="95">
        <f t="shared" si="72"/>
        <v>1.7003335096877872</v>
      </c>
      <c r="AP96" s="94">
        <f t="shared" si="62"/>
        <v>0.63086370372761702</v>
      </c>
      <c r="AQ96" s="230">
        <f t="shared" si="63"/>
        <v>2.5234548149104681</v>
      </c>
      <c r="AR96" s="230">
        <f t="shared" si="64"/>
        <v>2.2167935757072685</v>
      </c>
      <c r="AS96" s="92">
        <f t="shared" si="65"/>
        <v>3.6000000000000004E-2</v>
      </c>
      <c r="AT96" s="95">
        <f t="shared" si="66"/>
        <v>4.7519999999999999E-5</v>
      </c>
      <c r="AU96" s="94">
        <f t="shared" si="73"/>
        <v>18.028522129308293</v>
      </c>
      <c r="AV96" s="92">
        <f t="shared" si="74"/>
        <v>293.7</v>
      </c>
      <c r="AW96" s="95">
        <f t="shared" si="75"/>
        <v>94.216595258540423</v>
      </c>
    </row>
    <row r="97" spans="17:49" x14ac:dyDescent="0.25">
      <c r="Q97" s="32">
        <v>90</v>
      </c>
      <c r="R97" s="94">
        <f t="shared" si="49"/>
        <v>45</v>
      </c>
      <c r="S97" s="92">
        <f t="shared" si="50"/>
        <v>6.6</v>
      </c>
      <c r="T97" s="92">
        <f t="shared" si="51"/>
        <v>14.4</v>
      </c>
      <c r="U97" s="95">
        <f t="shared" si="52"/>
        <v>20.625</v>
      </c>
      <c r="V97" s="94">
        <f>IF(Variable_Management!$B$23=3,2,IF((S97*R97/T97)&lt;((T97*(1-(T97/R97)))/(2*Lm*Fsw)),1,2))</f>
        <v>2</v>
      </c>
      <c r="W97" s="92">
        <f t="shared" si="53"/>
        <v>0.67999999999999994</v>
      </c>
      <c r="X97" s="95">
        <f t="shared" si="54"/>
        <v>0.32000000000000006</v>
      </c>
      <c r="Y97" s="94">
        <f t="shared" si="55"/>
        <v>7.4181818181818189</v>
      </c>
      <c r="Z97" s="92">
        <f t="shared" si="77"/>
        <v>24.334090909090911</v>
      </c>
      <c r="AA97" s="92">
        <f t="shared" si="78"/>
        <v>20.735872543106716</v>
      </c>
      <c r="AB97" s="92">
        <v>0</v>
      </c>
      <c r="AC97" s="92">
        <f t="shared" si="56"/>
        <v>2.579858460743802</v>
      </c>
      <c r="AD97" s="95">
        <f t="shared" si="67"/>
        <v>2.579858460743802</v>
      </c>
      <c r="AE97" s="94">
        <f t="shared" si="76"/>
        <v>14.024999999999999</v>
      </c>
      <c r="AF97" s="92">
        <f t="shared" si="68"/>
        <v>17.099238546914815</v>
      </c>
      <c r="AG97" s="92">
        <f t="shared" si="57"/>
        <v>2.0466877121900824</v>
      </c>
      <c r="AH97" s="92">
        <f t="shared" si="58"/>
        <v>6.4674944196428568</v>
      </c>
      <c r="AI97" s="95">
        <f t="shared" si="69"/>
        <v>8.5141821318329391</v>
      </c>
      <c r="AJ97" s="94">
        <f t="shared" si="70"/>
        <v>6.6000000000000014</v>
      </c>
      <c r="AK97" s="92">
        <f t="shared" si="59"/>
        <v>11.72998087124056</v>
      </c>
      <c r="AL97" s="92">
        <f t="shared" si="60"/>
        <v>0.96314715867768619</v>
      </c>
      <c r="AM97" s="92">
        <f t="shared" si="71"/>
        <v>0.34846000000000005</v>
      </c>
      <c r="AN97" s="211">
        <f t="shared" si="61"/>
        <v>0.41367954545454549</v>
      </c>
      <c r="AO97" s="95">
        <f t="shared" si="72"/>
        <v>1.7252867041322317</v>
      </c>
      <c r="AP97" s="94">
        <f t="shared" si="62"/>
        <v>0.6449646151859505</v>
      </c>
      <c r="AQ97" s="230">
        <f t="shared" si="63"/>
        <v>2.579858460743802</v>
      </c>
      <c r="AR97" s="230">
        <f t="shared" si="64"/>
        <v>2.2167935757072685</v>
      </c>
      <c r="AS97" s="92">
        <f t="shared" si="65"/>
        <v>3.6000000000000004E-2</v>
      </c>
      <c r="AT97" s="95">
        <f t="shared" si="66"/>
        <v>4.7519999999999999E-5</v>
      </c>
      <c r="AU97" s="94">
        <f t="shared" si="73"/>
        <v>18.296991468345993</v>
      </c>
      <c r="AV97" s="92">
        <f t="shared" si="74"/>
        <v>297</v>
      </c>
      <c r="AW97" s="95">
        <f t="shared" si="75"/>
        <v>94.196902614536086</v>
      </c>
    </row>
    <row r="98" spans="17:49" x14ac:dyDescent="0.25">
      <c r="Q98" s="32">
        <v>91</v>
      </c>
      <c r="R98" s="94">
        <f t="shared" si="49"/>
        <v>45</v>
      </c>
      <c r="S98" s="92">
        <f t="shared" si="50"/>
        <v>6.6733333333333338</v>
      </c>
      <c r="T98" s="92">
        <f t="shared" si="51"/>
        <v>14.4</v>
      </c>
      <c r="U98" s="95">
        <f t="shared" si="52"/>
        <v>20.854166666666668</v>
      </c>
      <c r="V98" s="94">
        <f>IF(Variable_Management!$B$23=3,2,IF((S98*R98/T98)&lt;((T98*(1-(T98/R98)))/(2*Lm*Fsw)),1,2))</f>
        <v>2</v>
      </c>
      <c r="W98" s="92">
        <f t="shared" si="53"/>
        <v>0.67999999999999994</v>
      </c>
      <c r="X98" s="95">
        <f t="shared" si="54"/>
        <v>0.32000000000000006</v>
      </c>
      <c r="Y98" s="94">
        <f t="shared" si="55"/>
        <v>7.4181818181818189</v>
      </c>
      <c r="Z98" s="92">
        <f t="shared" si="77"/>
        <v>24.563257575757579</v>
      </c>
      <c r="AA98" s="92">
        <f t="shared" si="78"/>
        <v>20.963827238485774</v>
      </c>
      <c r="AB98" s="92">
        <v>0</v>
      </c>
      <c r="AC98" s="92">
        <f t="shared" si="56"/>
        <v>2.6368923149104684</v>
      </c>
      <c r="AD98" s="95">
        <f t="shared" si="67"/>
        <v>2.6368923149104684</v>
      </c>
      <c r="AE98" s="94">
        <f t="shared" si="76"/>
        <v>14.180833333333332</v>
      </c>
      <c r="AF98" s="92">
        <f t="shared" si="68"/>
        <v>17.287214804295491</v>
      </c>
      <c r="AG98" s="92">
        <f t="shared" si="57"/>
        <v>2.0919345698289722</v>
      </c>
      <c r="AH98" s="92">
        <f t="shared" si="58"/>
        <v>6.5393554687500002</v>
      </c>
      <c r="AI98" s="95">
        <f t="shared" si="69"/>
        <v>8.6312900385789728</v>
      </c>
      <c r="AJ98" s="94">
        <f t="shared" si="70"/>
        <v>6.6733333333333347</v>
      </c>
      <c r="AK98" s="92">
        <f t="shared" si="59"/>
        <v>11.858931519965239</v>
      </c>
      <c r="AL98" s="92">
        <f t="shared" si="60"/>
        <v>0.98443979756657529</v>
      </c>
      <c r="AM98" s="92">
        <f t="shared" si="71"/>
        <v>0.34846000000000005</v>
      </c>
      <c r="AN98" s="211">
        <f t="shared" si="61"/>
        <v>0.41757537878787887</v>
      </c>
      <c r="AO98" s="95">
        <f t="shared" si="72"/>
        <v>1.7504751763544542</v>
      </c>
      <c r="AP98" s="94">
        <f t="shared" si="62"/>
        <v>0.6592230787276171</v>
      </c>
      <c r="AQ98" s="230">
        <f t="shared" si="63"/>
        <v>2.6368923149104684</v>
      </c>
      <c r="AR98" s="230">
        <f t="shared" si="64"/>
        <v>2.2167935757072685</v>
      </c>
      <c r="AS98" s="92">
        <f t="shared" si="65"/>
        <v>3.6000000000000004E-2</v>
      </c>
      <c r="AT98" s="95">
        <f t="shared" si="66"/>
        <v>4.7519999999999999E-5</v>
      </c>
      <c r="AU98" s="94">
        <f t="shared" si="73"/>
        <v>18.56761401918925</v>
      </c>
      <c r="AV98" s="92">
        <f t="shared" si="74"/>
        <v>300.3</v>
      </c>
      <c r="AW98" s="95">
        <f t="shared" si="75"/>
        <v>94.177014785179196</v>
      </c>
    </row>
    <row r="99" spans="17:49" x14ac:dyDescent="0.25">
      <c r="Q99" s="32">
        <v>92</v>
      </c>
      <c r="R99" s="94">
        <f t="shared" si="49"/>
        <v>45</v>
      </c>
      <c r="S99" s="92">
        <f t="shared" si="50"/>
        <v>6.746666666666667</v>
      </c>
      <c r="T99" s="92">
        <f t="shared" si="51"/>
        <v>14.4</v>
      </c>
      <c r="U99" s="95">
        <f t="shared" si="52"/>
        <v>21.083333333333336</v>
      </c>
      <c r="V99" s="94">
        <f>IF(Variable_Management!$B$23=3,2,IF((S99*R99/T99)&lt;((T99*(1-(T99/R99)))/(2*Lm*Fsw)),1,2))</f>
        <v>2</v>
      </c>
      <c r="W99" s="92">
        <f t="shared" si="53"/>
        <v>0.67999999999999994</v>
      </c>
      <c r="X99" s="95">
        <f t="shared" si="54"/>
        <v>0.32000000000000006</v>
      </c>
      <c r="Y99" s="94">
        <f t="shared" si="55"/>
        <v>7.4181818181818189</v>
      </c>
      <c r="Z99" s="92">
        <f t="shared" si="77"/>
        <v>24.792424242424246</v>
      </c>
      <c r="AA99" s="92">
        <f t="shared" si="78"/>
        <v>21.19180807690584</v>
      </c>
      <c r="AB99" s="92">
        <v>0</v>
      </c>
      <c r="AC99" s="92">
        <f t="shared" si="56"/>
        <v>2.6945563774104695</v>
      </c>
      <c r="AD99" s="95">
        <f t="shared" si="67"/>
        <v>2.6945563774104695</v>
      </c>
      <c r="AE99" s="94">
        <f t="shared" si="76"/>
        <v>14.336666666666668</v>
      </c>
      <c r="AF99" s="92">
        <f t="shared" si="68"/>
        <v>17.475212619780045</v>
      </c>
      <c r="AG99" s="92">
        <f t="shared" si="57"/>
        <v>2.1376813927456384</v>
      </c>
      <c r="AH99" s="92">
        <f t="shared" si="58"/>
        <v>6.6112165178571436</v>
      </c>
      <c r="AI99" s="95">
        <f t="shared" si="69"/>
        <v>8.748897910602782</v>
      </c>
      <c r="AJ99" s="94">
        <f t="shared" si="70"/>
        <v>6.7466666666666688</v>
      </c>
      <c r="AK99" s="92">
        <f t="shared" si="59"/>
        <v>11.987896957427175</v>
      </c>
      <c r="AL99" s="92">
        <f t="shared" si="60"/>
        <v>1.0059677142332422</v>
      </c>
      <c r="AM99" s="92">
        <f t="shared" si="71"/>
        <v>0.34846000000000005</v>
      </c>
      <c r="AN99" s="211">
        <f t="shared" si="61"/>
        <v>0.42147121212121225</v>
      </c>
      <c r="AO99" s="95">
        <f t="shared" si="72"/>
        <v>1.7758989263544545</v>
      </c>
      <c r="AP99" s="94">
        <f t="shared" si="62"/>
        <v>0.67363909435261737</v>
      </c>
      <c r="AQ99" s="230">
        <f t="shared" si="63"/>
        <v>2.6945563774104695</v>
      </c>
      <c r="AR99" s="230">
        <f t="shared" si="64"/>
        <v>2.2167935757072685</v>
      </c>
      <c r="AS99" s="92">
        <f t="shared" si="65"/>
        <v>3.6000000000000004E-2</v>
      </c>
      <c r="AT99" s="95">
        <f t="shared" si="66"/>
        <v>4.7519999999999999E-5</v>
      </c>
      <c r="AU99" s="94">
        <f t="shared" si="73"/>
        <v>18.840389781838059</v>
      </c>
      <c r="AV99" s="92">
        <f t="shared" si="74"/>
        <v>303.60000000000002</v>
      </c>
      <c r="AW99" s="95">
        <f t="shared" si="75"/>
        <v>94.156938653192483</v>
      </c>
    </row>
    <row r="100" spans="17:49" x14ac:dyDescent="0.25">
      <c r="Q100" s="32">
        <v>93</v>
      </c>
      <c r="R100" s="94">
        <f t="shared" si="49"/>
        <v>45</v>
      </c>
      <c r="S100" s="92">
        <f t="shared" si="50"/>
        <v>6.82</v>
      </c>
      <c r="T100" s="92">
        <f t="shared" si="51"/>
        <v>14.4</v>
      </c>
      <c r="U100" s="95">
        <f t="shared" si="52"/>
        <v>21.312500000000004</v>
      </c>
      <c r="V100" s="94">
        <f>IF(Variable_Management!$B$23=3,2,IF((S100*R100/T100)&lt;((T100*(1-(T100/R100)))/(2*Lm*Fsw)),1,2))</f>
        <v>2</v>
      </c>
      <c r="W100" s="92">
        <f t="shared" si="53"/>
        <v>0.67999999999999994</v>
      </c>
      <c r="X100" s="95">
        <f t="shared" si="54"/>
        <v>0.32000000000000006</v>
      </c>
      <c r="Y100" s="94">
        <f t="shared" si="55"/>
        <v>7.4181818181818189</v>
      </c>
      <c r="Z100" s="92">
        <f t="shared" si="77"/>
        <v>25.021590909090914</v>
      </c>
      <c r="AA100" s="92">
        <f t="shared" si="78"/>
        <v>21.419814223610043</v>
      </c>
      <c r="AB100" s="92">
        <v>0</v>
      </c>
      <c r="AC100" s="92">
        <f t="shared" si="56"/>
        <v>2.7528506482438027</v>
      </c>
      <c r="AD100" s="95">
        <f t="shared" si="67"/>
        <v>2.7528506482438027</v>
      </c>
      <c r="AE100" s="94">
        <f t="shared" si="76"/>
        <v>14.492500000000001</v>
      </c>
      <c r="AF100" s="92">
        <f t="shared" si="68"/>
        <v>17.663231305010353</v>
      </c>
      <c r="AG100" s="92">
        <f t="shared" si="57"/>
        <v>2.1839281809400841</v>
      </c>
      <c r="AH100" s="92">
        <f t="shared" si="58"/>
        <v>6.683077566964287</v>
      </c>
      <c r="AI100" s="95">
        <f t="shared" si="69"/>
        <v>8.867005747904372</v>
      </c>
      <c r="AJ100" s="94">
        <f t="shared" si="70"/>
        <v>6.8200000000000021</v>
      </c>
      <c r="AK100" s="92">
        <f t="shared" si="59"/>
        <v>12.116876711416582</v>
      </c>
      <c r="AL100" s="92">
        <f t="shared" si="60"/>
        <v>1.0277309086776867</v>
      </c>
      <c r="AM100" s="92">
        <f t="shared" si="71"/>
        <v>0.34846000000000005</v>
      </c>
      <c r="AN100" s="211">
        <f t="shared" si="61"/>
        <v>0.42536704545454557</v>
      </c>
      <c r="AO100" s="95">
        <f t="shared" si="72"/>
        <v>1.8015579541322322</v>
      </c>
      <c r="AP100" s="94">
        <f t="shared" si="62"/>
        <v>0.68821266206095066</v>
      </c>
      <c r="AQ100" s="230">
        <f t="shared" si="63"/>
        <v>2.7528506482438027</v>
      </c>
      <c r="AR100" s="230">
        <f t="shared" si="64"/>
        <v>2.2167935757072685</v>
      </c>
      <c r="AS100" s="92">
        <f t="shared" si="65"/>
        <v>3.6000000000000004E-2</v>
      </c>
      <c r="AT100" s="95">
        <f t="shared" si="66"/>
        <v>4.7519999999999999E-5</v>
      </c>
      <c r="AU100" s="94">
        <f t="shared" si="73"/>
        <v>19.115318756292428</v>
      </c>
      <c r="AV100" s="92">
        <f t="shared" si="74"/>
        <v>306.90000000000003</v>
      </c>
      <c r="AW100" s="95">
        <f t="shared" si="75"/>
        <v>94.136680807142753</v>
      </c>
    </row>
    <row r="101" spans="17:49" x14ac:dyDescent="0.25">
      <c r="Q101" s="32">
        <v>94</v>
      </c>
      <c r="R101" s="94">
        <f t="shared" si="49"/>
        <v>45</v>
      </c>
      <c r="S101" s="92">
        <f t="shared" si="50"/>
        <v>6.8933333333333335</v>
      </c>
      <c r="T101" s="92">
        <f t="shared" si="51"/>
        <v>14.4</v>
      </c>
      <c r="U101" s="95">
        <f t="shared" si="52"/>
        <v>21.541666666666664</v>
      </c>
      <c r="V101" s="94">
        <f>IF(Variable_Management!$B$23=3,2,IF((S101*R101/T101)&lt;((T101*(1-(T101/R101)))/(2*Lm*Fsw)),1,2))</f>
        <v>2</v>
      </c>
      <c r="W101" s="92">
        <f t="shared" si="53"/>
        <v>0.67999999999999994</v>
      </c>
      <c r="X101" s="95">
        <f t="shared" si="54"/>
        <v>0.32000000000000006</v>
      </c>
      <c r="Y101" s="94">
        <f t="shared" si="55"/>
        <v>7.4181818181818189</v>
      </c>
      <c r="Z101" s="92">
        <f t="shared" si="77"/>
        <v>25.250757575757575</v>
      </c>
      <c r="AA101" s="92">
        <f t="shared" si="78"/>
        <v>21.647844878919116</v>
      </c>
      <c r="AB101" s="92">
        <v>0</v>
      </c>
      <c r="AC101" s="92">
        <f t="shared" si="56"/>
        <v>2.8117751274104679</v>
      </c>
      <c r="AD101" s="95">
        <f t="shared" si="67"/>
        <v>2.8117751274104679</v>
      </c>
      <c r="AE101" s="94">
        <f t="shared" si="76"/>
        <v>14.64833333333333</v>
      </c>
      <c r="AF101" s="92">
        <f t="shared" si="68"/>
        <v>17.851270200553973</v>
      </c>
      <c r="AG101" s="92">
        <f t="shared" si="57"/>
        <v>2.230674934412304</v>
      </c>
      <c r="AH101" s="92">
        <f t="shared" si="58"/>
        <v>6.7549386160714278</v>
      </c>
      <c r="AI101" s="95">
        <f t="shared" si="69"/>
        <v>8.9856135504837322</v>
      </c>
      <c r="AJ101" s="94">
        <f t="shared" si="70"/>
        <v>6.8933333333333335</v>
      </c>
      <c r="AK101" s="92">
        <f t="shared" si="59"/>
        <v>12.245870329566548</v>
      </c>
      <c r="AL101" s="92">
        <f t="shared" si="60"/>
        <v>1.0497293808999084</v>
      </c>
      <c r="AM101" s="92">
        <f t="shared" si="71"/>
        <v>0.34846000000000005</v>
      </c>
      <c r="AN101" s="211">
        <f t="shared" si="61"/>
        <v>0.42926287878787883</v>
      </c>
      <c r="AO101" s="95">
        <f t="shared" si="72"/>
        <v>1.8274522596877874</v>
      </c>
      <c r="AP101" s="94">
        <f t="shared" si="62"/>
        <v>0.70294378185261697</v>
      </c>
      <c r="AQ101" s="230">
        <f t="shared" si="63"/>
        <v>2.8117751274104679</v>
      </c>
      <c r="AR101" s="230">
        <f t="shared" si="64"/>
        <v>2.2167935757072685</v>
      </c>
      <c r="AS101" s="92">
        <f t="shared" si="65"/>
        <v>3.6000000000000004E-2</v>
      </c>
      <c r="AT101" s="95">
        <f t="shared" si="66"/>
        <v>4.7519999999999999E-5</v>
      </c>
      <c r="AU101" s="94">
        <f t="shared" si="73"/>
        <v>19.392400942552339</v>
      </c>
      <c r="AV101" s="92">
        <f t="shared" si="74"/>
        <v>310.2</v>
      </c>
      <c r="AW101" s="95">
        <f t="shared" si="75"/>
        <v>94.116247556953709</v>
      </c>
    </row>
    <row r="102" spans="17:49" x14ac:dyDescent="0.25">
      <c r="Q102" s="32">
        <v>95</v>
      </c>
      <c r="R102" s="94">
        <f t="shared" si="49"/>
        <v>45</v>
      </c>
      <c r="S102" s="92">
        <f t="shared" si="50"/>
        <v>6.9666666666666668</v>
      </c>
      <c r="T102" s="92">
        <f t="shared" si="51"/>
        <v>14.4</v>
      </c>
      <c r="U102" s="95">
        <f t="shared" si="52"/>
        <v>21.770833333333332</v>
      </c>
      <c r="V102" s="94">
        <f>IF(Variable_Management!$B$23=3,2,IF((S102*R102/T102)&lt;((T102*(1-(T102/R102)))/(2*Lm*Fsw)),1,2))</f>
        <v>2</v>
      </c>
      <c r="W102" s="92">
        <f t="shared" si="53"/>
        <v>0.67999999999999994</v>
      </c>
      <c r="X102" s="95">
        <f t="shared" si="54"/>
        <v>0.32000000000000006</v>
      </c>
      <c r="Y102" s="94">
        <f t="shared" si="55"/>
        <v>7.4181818181818189</v>
      </c>
      <c r="Z102" s="92">
        <f t="shared" si="77"/>
        <v>25.479924242424243</v>
      </c>
      <c r="AA102" s="92">
        <f t="shared" si="78"/>
        <v>21.875899276412493</v>
      </c>
      <c r="AB102" s="92">
        <v>0</v>
      </c>
      <c r="AC102" s="92">
        <f t="shared" si="56"/>
        <v>2.8713298149104682</v>
      </c>
      <c r="AD102" s="95">
        <f t="shared" si="67"/>
        <v>2.8713298149104682</v>
      </c>
      <c r="AE102" s="94">
        <f t="shared" si="76"/>
        <v>14.804166666666665</v>
      </c>
      <c r="AF102" s="92">
        <f t="shared" si="68"/>
        <v>18.039328674404334</v>
      </c>
      <c r="AG102" s="92">
        <f t="shared" si="57"/>
        <v>2.2779216531623048</v>
      </c>
      <c r="AH102" s="92">
        <f t="shared" si="58"/>
        <v>6.8267996651785712</v>
      </c>
      <c r="AI102" s="95">
        <f t="shared" si="69"/>
        <v>9.1047213183408751</v>
      </c>
      <c r="AJ102" s="94">
        <f t="shared" si="70"/>
        <v>6.9666666666666677</v>
      </c>
      <c r="AK102" s="92">
        <f t="shared" si="59"/>
        <v>12.374877378324133</v>
      </c>
      <c r="AL102" s="92">
        <f t="shared" si="60"/>
        <v>1.0719631308999085</v>
      </c>
      <c r="AM102" s="92">
        <f t="shared" si="71"/>
        <v>0.34846000000000005</v>
      </c>
      <c r="AN102" s="211">
        <f t="shared" si="61"/>
        <v>0.43315871212121215</v>
      </c>
      <c r="AO102" s="95">
        <f t="shared" si="72"/>
        <v>1.8535818430211206</v>
      </c>
      <c r="AP102" s="94">
        <f t="shared" si="62"/>
        <v>0.71783245372761706</v>
      </c>
      <c r="AQ102" s="230">
        <f t="shared" si="63"/>
        <v>2.8713298149104682</v>
      </c>
      <c r="AR102" s="230">
        <f t="shared" si="64"/>
        <v>2.2167935757072685</v>
      </c>
      <c r="AS102" s="92">
        <f t="shared" si="65"/>
        <v>3.6000000000000004E-2</v>
      </c>
      <c r="AT102" s="95">
        <f t="shared" si="66"/>
        <v>4.7519999999999999E-5</v>
      </c>
      <c r="AU102" s="94">
        <f t="shared" si="73"/>
        <v>19.671636340617816</v>
      </c>
      <c r="AV102" s="92">
        <f t="shared" si="74"/>
        <v>313.5</v>
      </c>
      <c r="AW102" s="95">
        <f t="shared" si="75"/>
        <v>94.095644948447372</v>
      </c>
    </row>
    <row r="103" spans="17:49" x14ac:dyDescent="0.25">
      <c r="Q103" s="32">
        <v>96</v>
      </c>
      <c r="R103" s="94">
        <f t="shared" si="49"/>
        <v>45</v>
      </c>
      <c r="S103" s="92">
        <f t="shared" ref="S103:S134" si="79">Q103*$O$12</f>
        <v>7.04</v>
      </c>
      <c r="T103" s="92">
        <f t="shared" si="51"/>
        <v>14.4</v>
      </c>
      <c r="U103" s="95">
        <f t="shared" ref="U103:U134" si="80">(R103*S103)/(T103*EFF_est)</f>
        <v>22</v>
      </c>
      <c r="V103" s="94">
        <f>IF(Variable_Management!$B$23=3,2,IF((S103*R103/T103)&lt;((T103*(1-(T103/R103)))/(2*Lm*Fsw)),1,2))</f>
        <v>2</v>
      </c>
      <c r="W103" s="92">
        <f t="shared" ref="W103:W134" si="81">CHOOSE(V103,SQRT((2*S103*Lm*Fsw*(R103-T103))/((T103)^2)),1-(T103/R103))</f>
        <v>0.67999999999999994</v>
      </c>
      <c r="X103" s="95">
        <f t="shared" ref="X103:X134" si="82">CHOOSE(V103,(Lm*Z103*Fsw)/(R103-T103),1-W103)</f>
        <v>0.32000000000000006</v>
      </c>
      <c r="Y103" s="94">
        <f t="shared" ref="Y103:Y134" si="83">(T103*W103)/(Lm*Fsw)</f>
        <v>7.4181818181818189</v>
      </c>
      <c r="Z103" s="92">
        <f t="shared" si="77"/>
        <v>25.709090909090911</v>
      </c>
      <c r="AA103" s="92">
        <f t="shared" si="78"/>
        <v>22.10397668122112</v>
      </c>
      <c r="AB103" s="92">
        <v>0</v>
      </c>
      <c r="AC103" s="92">
        <f t="shared" ref="AC103:AC134" si="84">(AA103^2)*Rdcr</f>
        <v>2.931514710743802</v>
      </c>
      <c r="AD103" s="95">
        <f t="shared" si="67"/>
        <v>2.931514710743802</v>
      </c>
      <c r="AE103" s="94">
        <f t="shared" si="76"/>
        <v>14.959999999999999</v>
      </c>
      <c r="AF103" s="92">
        <f t="shared" si="68"/>
        <v>18.227406120572876</v>
      </c>
      <c r="AG103" s="92">
        <f t="shared" ref="AG103:AG134" si="85">(AF103^2)*RDS_on</f>
        <v>2.3256683371900828</v>
      </c>
      <c r="AH103" s="92">
        <f t="shared" ref="AH103:AH134" si="86">((R103*U103)/2)*Fsw*(tr_sw+tf_sw)</f>
        <v>6.8986607142857146</v>
      </c>
      <c r="AI103" s="95">
        <f t="shared" si="69"/>
        <v>9.224329051475797</v>
      </c>
      <c r="AJ103" s="94">
        <f t="shared" si="70"/>
        <v>7.0400000000000009</v>
      </c>
      <c r="AK103" s="92">
        <f t="shared" ref="AK103:AK134" si="87">CHOOSE(V103,Z103*SQRT(X103/3),SQRT(X103*((Z103^2)+((Y103^2)/3)-(Y103*Z103))))</f>
        <v>12.503897441984618</v>
      </c>
      <c r="AL103" s="92">
        <f t="shared" ref="AL103:AL134" si="88">(AK103^2)*RDS_on_HS</f>
        <v>1.0944321586776864</v>
      </c>
      <c r="AM103" s="92">
        <f t="shared" si="71"/>
        <v>0.34846000000000005</v>
      </c>
      <c r="AN103" s="211">
        <f t="shared" ref="AN103:AN134" si="89">Vd_rect*t_dead*Fsw*Z103</f>
        <v>0.43705454545454553</v>
      </c>
      <c r="AO103" s="95">
        <f t="shared" si="72"/>
        <v>1.879946704132232</v>
      </c>
      <c r="AP103" s="94">
        <f t="shared" ref="AP103:AP134" si="90">(AA103^2)*R_cs</f>
        <v>0.7328786776859505</v>
      </c>
      <c r="AQ103" s="230">
        <f t="shared" ref="AQ103:AQ134" si="91">Rdcr*AA103^2</f>
        <v>2.931514710743802</v>
      </c>
      <c r="AR103" s="230">
        <f t="shared" ref="AR103:AR134" si="92">ABS(7.759*10^-3*Fsw^0.9458*(0.00787*Y103)^2.304)</f>
        <v>2.2167935757072685</v>
      </c>
      <c r="AS103" s="92">
        <f t="shared" ref="AS103:AS134" si="93">(Qg_tot+Qg_tot_HS)*Vcc*Fsw</f>
        <v>3.6000000000000004E-2</v>
      </c>
      <c r="AT103" s="95">
        <f t="shared" ref="AT103:AT134" si="94">IQ*T103</f>
        <v>4.7519999999999999E-5</v>
      </c>
      <c r="AU103" s="94">
        <f t="shared" si="73"/>
        <v>19.953024950488849</v>
      </c>
      <c r="AV103" s="92">
        <f t="shared" si="74"/>
        <v>316.8</v>
      </c>
      <c r="AW103" s="95">
        <f t="shared" si="75"/>
        <v>94.074878776984278</v>
      </c>
    </row>
    <row r="104" spans="17:49" x14ac:dyDescent="0.25">
      <c r="Q104" s="32">
        <v>97</v>
      </c>
      <c r="R104" s="94">
        <f t="shared" si="49"/>
        <v>45</v>
      </c>
      <c r="S104" s="92">
        <f t="shared" si="79"/>
        <v>7.1133333333333333</v>
      </c>
      <c r="T104" s="92">
        <f t="shared" si="51"/>
        <v>14.4</v>
      </c>
      <c r="U104" s="95">
        <f t="shared" si="80"/>
        <v>22.229166666666668</v>
      </c>
      <c r="V104" s="94">
        <f>IF(Variable_Management!$B$23=3,2,IF((S104*R104/T104)&lt;((T104*(1-(T104/R104)))/(2*Lm*Fsw)),1,2))</f>
        <v>2</v>
      </c>
      <c r="W104" s="92">
        <f t="shared" si="81"/>
        <v>0.67999999999999994</v>
      </c>
      <c r="X104" s="95">
        <f t="shared" si="82"/>
        <v>0.32000000000000006</v>
      </c>
      <c r="Y104" s="94">
        <f t="shared" si="83"/>
        <v>7.4181818181818189</v>
      </c>
      <c r="Z104" s="92">
        <f t="shared" si="77"/>
        <v>25.938257575757579</v>
      </c>
      <c r="AA104" s="92">
        <f t="shared" si="78"/>
        <v>22.332076388424152</v>
      </c>
      <c r="AB104" s="92">
        <v>0</v>
      </c>
      <c r="AC104" s="92">
        <f t="shared" si="84"/>
        <v>2.9923298149104691</v>
      </c>
      <c r="AD104" s="95">
        <f t="shared" si="67"/>
        <v>2.9923298149104691</v>
      </c>
      <c r="AE104" s="94">
        <f t="shared" si="76"/>
        <v>15.115833333333333</v>
      </c>
      <c r="AF104" s="92">
        <f t="shared" si="68"/>
        <v>18.415501957766988</v>
      </c>
      <c r="AG104" s="92">
        <f t="shared" si="85"/>
        <v>2.3739149864956386</v>
      </c>
      <c r="AH104" s="92">
        <f t="shared" si="86"/>
        <v>6.9705217633928571</v>
      </c>
      <c r="AI104" s="95">
        <f t="shared" si="69"/>
        <v>9.3444367498884962</v>
      </c>
      <c r="AJ104" s="94">
        <f t="shared" si="70"/>
        <v>7.1133333333333351</v>
      </c>
      <c r="AK104" s="92">
        <f t="shared" si="87"/>
        <v>12.632930121784563</v>
      </c>
      <c r="AL104" s="92">
        <f t="shared" si="88"/>
        <v>1.117136464233242</v>
      </c>
      <c r="AM104" s="92">
        <f t="shared" ref="AM104:AM135" si="95">CHOOSE(V104,(R104+Vd_rect)*Qrr*Fsw,(R104+Vd_rect)*Qrr*Fsw)</f>
        <v>0.34846000000000005</v>
      </c>
      <c r="AN104" s="211">
        <f t="shared" si="89"/>
        <v>0.44095037878787885</v>
      </c>
      <c r="AO104" s="95">
        <f t="shared" si="72"/>
        <v>1.9065468430211208</v>
      </c>
      <c r="AP104" s="94">
        <f t="shared" si="90"/>
        <v>0.74808245372761728</v>
      </c>
      <c r="AQ104" s="230">
        <f t="shared" si="91"/>
        <v>2.9923298149104691</v>
      </c>
      <c r="AR104" s="230">
        <f t="shared" si="92"/>
        <v>2.2167935757072685</v>
      </c>
      <c r="AS104" s="92">
        <f t="shared" si="93"/>
        <v>3.6000000000000004E-2</v>
      </c>
      <c r="AT104" s="95">
        <f t="shared" si="94"/>
        <v>4.7519999999999999E-5</v>
      </c>
      <c r="AU104" s="94">
        <f t="shared" si="73"/>
        <v>20.236566772165439</v>
      </c>
      <c r="AV104" s="92">
        <f t="shared" si="74"/>
        <v>320.10000000000002</v>
      </c>
      <c r="AW104" s="95">
        <f t="shared" si="75"/>
        <v>94.053954600267048</v>
      </c>
    </row>
    <row r="105" spans="17:49" x14ac:dyDescent="0.25">
      <c r="Q105" s="32">
        <v>98</v>
      </c>
      <c r="R105" s="94">
        <f t="shared" si="49"/>
        <v>45</v>
      </c>
      <c r="S105" s="92">
        <f t="shared" si="79"/>
        <v>7.1866666666666665</v>
      </c>
      <c r="T105" s="92">
        <f t="shared" si="51"/>
        <v>14.4</v>
      </c>
      <c r="U105" s="95">
        <f t="shared" si="80"/>
        <v>22.458333333333332</v>
      </c>
      <c r="V105" s="94">
        <f>IF(Variable_Management!$B$23=3,2,IF((S105*R105/T105)&lt;((T105*(1-(T105/R105)))/(2*Lm*Fsw)),1,2))</f>
        <v>2</v>
      </c>
      <c r="W105" s="92">
        <f t="shared" si="81"/>
        <v>0.67999999999999994</v>
      </c>
      <c r="X105" s="95">
        <f t="shared" si="82"/>
        <v>0.32000000000000006</v>
      </c>
      <c r="Y105" s="94">
        <f t="shared" si="83"/>
        <v>7.4181818181818189</v>
      </c>
      <c r="Z105" s="92">
        <f t="shared" si="77"/>
        <v>26.167424242424243</v>
      </c>
      <c r="AA105" s="92">
        <f t="shared" si="78"/>
        <v>22.560197721542202</v>
      </c>
      <c r="AB105" s="92">
        <v>0</v>
      </c>
      <c r="AC105" s="92">
        <f t="shared" si="84"/>
        <v>3.0537751274104679</v>
      </c>
      <c r="AD105" s="95">
        <f t="shared" si="67"/>
        <v>3.0537751274104679</v>
      </c>
      <c r="AE105" s="94">
        <f t="shared" si="76"/>
        <v>15.271666666666665</v>
      </c>
      <c r="AF105" s="92">
        <f t="shared" si="68"/>
        <v>18.60361562814748</v>
      </c>
      <c r="AG105" s="92">
        <f t="shared" si="85"/>
        <v>2.4226616010789725</v>
      </c>
      <c r="AH105" s="92">
        <f t="shared" si="86"/>
        <v>7.0423828124999996</v>
      </c>
      <c r="AI105" s="95">
        <f t="shared" si="69"/>
        <v>9.4650444135789726</v>
      </c>
      <c r="AJ105" s="94">
        <f t="shared" si="70"/>
        <v>7.1866666666666674</v>
      </c>
      <c r="AK105" s="92">
        <f t="shared" si="87"/>
        <v>12.761975035049435</v>
      </c>
      <c r="AL105" s="92">
        <f t="shared" si="88"/>
        <v>1.1400760475665752</v>
      </c>
      <c r="AM105" s="92">
        <f t="shared" si="95"/>
        <v>0.34846000000000005</v>
      </c>
      <c r="AN105" s="211">
        <f t="shared" si="89"/>
        <v>0.44484621212121217</v>
      </c>
      <c r="AO105" s="95">
        <f t="shared" si="72"/>
        <v>1.9333822596877874</v>
      </c>
      <c r="AP105" s="94">
        <f t="shared" si="90"/>
        <v>0.76344378185261697</v>
      </c>
      <c r="AQ105" s="230">
        <f t="shared" si="91"/>
        <v>3.0537751274104679</v>
      </c>
      <c r="AR105" s="230">
        <f t="shared" si="92"/>
        <v>2.2167935757072685</v>
      </c>
      <c r="AS105" s="92">
        <f t="shared" si="93"/>
        <v>3.6000000000000004E-2</v>
      </c>
      <c r="AT105" s="95">
        <f t="shared" si="94"/>
        <v>4.7519999999999999E-5</v>
      </c>
      <c r="AU105" s="94">
        <f t="shared" si="73"/>
        <v>20.522261805647581</v>
      </c>
      <c r="AV105" s="92">
        <f t="shared" si="74"/>
        <v>323.39999999999998</v>
      </c>
      <c r="AW105" s="95">
        <f t="shared" si="75"/>
        <v>94.032877750366495</v>
      </c>
    </row>
    <row r="106" spans="17:49" x14ac:dyDescent="0.25">
      <c r="Q106" s="32">
        <v>99</v>
      </c>
      <c r="R106" s="94">
        <f t="shared" si="49"/>
        <v>45</v>
      </c>
      <c r="S106" s="92">
        <f t="shared" si="79"/>
        <v>7.26</v>
      </c>
      <c r="T106" s="92">
        <f t="shared" si="51"/>
        <v>14.4</v>
      </c>
      <c r="U106" s="95">
        <f t="shared" si="80"/>
        <v>22.6875</v>
      </c>
      <c r="V106" s="94">
        <f>IF(Variable_Management!$B$23=3,2,IF((S106*R106/T106)&lt;((T106*(1-(T106/R106)))/(2*Lm*Fsw)),1,2))</f>
        <v>2</v>
      </c>
      <c r="W106" s="92">
        <f t="shared" si="81"/>
        <v>0.67999999999999994</v>
      </c>
      <c r="X106" s="95">
        <f t="shared" si="82"/>
        <v>0.32000000000000006</v>
      </c>
      <c r="Y106" s="94">
        <f t="shared" si="83"/>
        <v>7.4181818181818189</v>
      </c>
      <c r="Z106" s="92">
        <f t="shared" si="77"/>
        <v>26.396590909090911</v>
      </c>
      <c r="AA106" s="92">
        <f t="shared" si="78"/>
        <v>22.788340031120455</v>
      </c>
      <c r="AB106" s="92">
        <v>0</v>
      </c>
      <c r="AC106" s="92">
        <f t="shared" si="84"/>
        <v>3.1158506482438026</v>
      </c>
      <c r="AD106" s="95">
        <f t="shared" si="67"/>
        <v>3.1158506482438026</v>
      </c>
      <c r="AE106" s="94">
        <f t="shared" si="76"/>
        <v>15.427499999999998</v>
      </c>
      <c r="AF106" s="92">
        <f t="shared" si="68"/>
        <v>18.791746596160177</v>
      </c>
      <c r="AG106" s="92">
        <f t="shared" si="85"/>
        <v>2.4719081809400834</v>
      </c>
      <c r="AH106" s="92">
        <f t="shared" si="86"/>
        <v>7.1142438616071431</v>
      </c>
      <c r="AI106" s="95">
        <f t="shared" si="69"/>
        <v>9.5861520425472264</v>
      </c>
      <c r="AJ106" s="94">
        <f t="shared" si="70"/>
        <v>7.2600000000000016</v>
      </c>
      <c r="AK106" s="92">
        <f t="shared" si="87"/>
        <v>12.891031814392109</v>
      </c>
      <c r="AL106" s="92">
        <f t="shared" si="88"/>
        <v>1.1632509086776868</v>
      </c>
      <c r="AM106" s="92">
        <f t="shared" si="95"/>
        <v>0.34846000000000005</v>
      </c>
      <c r="AN106" s="211">
        <f t="shared" si="89"/>
        <v>0.44874204545454549</v>
      </c>
      <c r="AO106" s="95">
        <f t="shared" si="72"/>
        <v>1.9604529541322322</v>
      </c>
      <c r="AP106" s="94">
        <f t="shared" si="90"/>
        <v>0.77896266206095066</v>
      </c>
      <c r="AQ106" s="230">
        <f t="shared" si="91"/>
        <v>3.1158506482438026</v>
      </c>
      <c r="AR106" s="230">
        <f t="shared" si="92"/>
        <v>2.2167935757072685</v>
      </c>
      <c r="AS106" s="92">
        <f t="shared" si="93"/>
        <v>3.6000000000000004E-2</v>
      </c>
      <c r="AT106" s="95">
        <f t="shared" si="94"/>
        <v>4.7519999999999999E-5</v>
      </c>
      <c r="AU106" s="94">
        <f t="shared" si="73"/>
        <v>20.810110050935283</v>
      </c>
      <c r="AV106" s="92">
        <f t="shared" si="74"/>
        <v>326.7</v>
      </c>
      <c r="AW106" s="95">
        <f t="shared" si="75"/>
        <v>94.011653345024953</v>
      </c>
    </row>
    <row r="107" spans="17:49" x14ac:dyDescent="0.25">
      <c r="Q107" s="32">
        <v>100</v>
      </c>
      <c r="R107" s="94">
        <f t="shared" si="49"/>
        <v>45</v>
      </c>
      <c r="S107" s="92">
        <f t="shared" si="79"/>
        <v>7.333333333333333</v>
      </c>
      <c r="T107" s="92">
        <f t="shared" si="51"/>
        <v>14.4</v>
      </c>
      <c r="U107" s="95">
        <f t="shared" si="80"/>
        <v>22.916666666666668</v>
      </c>
      <c r="V107" s="94">
        <f>IF(Variable_Management!$B$23=3,2,IF((S107*R107/T107)&lt;((T107*(1-(T107/R107)))/(2*Lm*Fsw)),1,2))</f>
        <v>2</v>
      </c>
      <c r="W107" s="92">
        <f t="shared" si="81"/>
        <v>0.67999999999999994</v>
      </c>
      <c r="X107" s="95">
        <f t="shared" si="82"/>
        <v>0.32000000000000006</v>
      </c>
      <c r="Y107" s="94">
        <f t="shared" si="83"/>
        <v>7.4181818181818189</v>
      </c>
      <c r="Z107" s="92">
        <f t="shared" si="77"/>
        <v>26.625757575757579</v>
      </c>
      <c r="AA107" s="92">
        <f t="shared" si="78"/>
        <v>23.01650269339541</v>
      </c>
      <c r="AB107" s="92">
        <v>0</v>
      </c>
      <c r="AC107" s="92">
        <f t="shared" si="84"/>
        <v>3.178556377410469</v>
      </c>
      <c r="AD107" s="95">
        <f t="shared" si="67"/>
        <v>3.178556377410469</v>
      </c>
      <c r="AE107" s="94">
        <f t="shared" si="76"/>
        <v>15.583333333333332</v>
      </c>
      <c r="AF107" s="92">
        <f t="shared" si="68"/>
        <v>18.979894347436527</v>
      </c>
      <c r="AG107" s="92">
        <f t="shared" si="85"/>
        <v>2.5216547260789715</v>
      </c>
      <c r="AH107" s="92">
        <f t="shared" si="86"/>
        <v>7.1861049107142856</v>
      </c>
      <c r="AI107" s="95">
        <f t="shared" si="69"/>
        <v>9.7077596367932575</v>
      </c>
      <c r="AJ107" s="94">
        <f t="shared" si="70"/>
        <v>7.3333333333333348</v>
      </c>
      <c r="AK107" s="92">
        <f t="shared" si="87"/>
        <v>13.020100106958665</v>
      </c>
      <c r="AL107" s="92">
        <f t="shared" si="88"/>
        <v>1.1866610475665755</v>
      </c>
      <c r="AM107" s="92">
        <f t="shared" si="95"/>
        <v>0.34846000000000005</v>
      </c>
      <c r="AN107" s="211">
        <f t="shared" si="89"/>
        <v>0.45263787878787887</v>
      </c>
      <c r="AO107" s="95">
        <f t="shared" si="72"/>
        <v>1.9877589263544544</v>
      </c>
      <c r="AP107" s="94">
        <f t="shared" si="90"/>
        <v>0.79463909435261726</v>
      </c>
      <c r="AQ107" s="230">
        <f t="shared" si="91"/>
        <v>3.178556377410469</v>
      </c>
      <c r="AR107" s="230">
        <f t="shared" si="92"/>
        <v>2.2167935757072685</v>
      </c>
      <c r="AS107" s="92">
        <f t="shared" si="93"/>
        <v>3.6000000000000004E-2</v>
      </c>
      <c r="AT107" s="95">
        <f t="shared" si="94"/>
        <v>4.7519999999999999E-5</v>
      </c>
      <c r="AU107" s="94">
        <f t="shared" si="73"/>
        <v>21.100111508028537</v>
      </c>
      <c r="AV107" s="92">
        <f t="shared" si="74"/>
        <v>330</v>
      </c>
      <c r="AW107" s="95">
        <f t="shared" si="75"/>
        <v>93.990286298286748</v>
      </c>
    </row>
    <row r="108" spans="17:49" x14ac:dyDescent="0.25">
      <c r="Q108" s="32">
        <v>101</v>
      </c>
      <c r="R108" s="94">
        <f t="shared" si="49"/>
        <v>45</v>
      </c>
      <c r="S108" s="92">
        <f t="shared" si="79"/>
        <v>7.4066666666666663</v>
      </c>
      <c r="T108" s="92">
        <f t="shared" si="51"/>
        <v>14.4</v>
      </c>
      <c r="U108" s="95">
        <f t="shared" si="80"/>
        <v>23.145833333333329</v>
      </c>
      <c r="V108" s="94">
        <f>IF(Variable_Management!$B$23=3,2,IF((S108*R108/T108)&lt;((T108*(1-(T108/R108)))/(2*Lm*Fsw)),1,2))</f>
        <v>2</v>
      </c>
      <c r="W108" s="92">
        <f t="shared" si="81"/>
        <v>0.67999999999999994</v>
      </c>
      <c r="X108" s="95">
        <f t="shared" si="82"/>
        <v>0.32000000000000006</v>
      </c>
      <c r="Y108" s="94">
        <f t="shared" si="83"/>
        <v>7.4181818181818189</v>
      </c>
      <c r="Z108" s="92">
        <f t="shared" si="77"/>
        <v>26.854924242424239</v>
      </c>
      <c r="AA108" s="92">
        <f t="shared" si="78"/>
        <v>23.244685109039683</v>
      </c>
      <c r="AB108" s="92">
        <v>0</v>
      </c>
      <c r="AC108" s="92">
        <f t="shared" si="84"/>
        <v>3.241892314910467</v>
      </c>
      <c r="AD108" s="95">
        <f t="shared" si="67"/>
        <v>3.241892314910467</v>
      </c>
      <c r="AE108" s="94">
        <f t="shared" si="76"/>
        <v>15.739166666666662</v>
      </c>
      <c r="AF108" s="92">
        <f t="shared" si="68"/>
        <v>19.168058387758517</v>
      </c>
      <c r="AG108" s="92">
        <f t="shared" si="85"/>
        <v>2.5719012364956377</v>
      </c>
      <c r="AH108" s="92">
        <f t="shared" si="86"/>
        <v>7.2579659598214263</v>
      </c>
      <c r="AI108" s="95">
        <f t="shared" si="69"/>
        <v>9.8298671963170641</v>
      </c>
      <c r="AJ108" s="94">
        <f t="shared" si="70"/>
        <v>7.4066666666666663</v>
      </c>
      <c r="AK108" s="92">
        <f t="shared" si="87"/>
        <v>13.149179573718341</v>
      </c>
      <c r="AL108" s="92">
        <f t="shared" si="88"/>
        <v>1.2103064642332415</v>
      </c>
      <c r="AM108" s="92">
        <f t="shared" si="95"/>
        <v>0.34846000000000005</v>
      </c>
      <c r="AN108" s="211">
        <f t="shared" si="89"/>
        <v>0.45653371212121208</v>
      </c>
      <c r="AO108" s="95">
        <f t="shared" si="72"/>
        <v>2.0153001763544536</v>
      </c>
      <c r="AP108" s="94">
        <f t="shared" si="90"/>
        <v>0.81047307872761676</v>
      </c>
      <c r="AQ108" s="230">
        <f t="shared" si="91"/>
        <v>3.241892314910467</v>
      </c>
      <c r="AR108" s="230">
        <f t="shared" si="92"/>
        <v>2.2167935757072685</v>
      </c>
      <c r="AS108" s="92">
        <f t="shared" si="93"/>
        <v>3.6000000000000004E-2</v>
      </c>
      <c r="AT108" s="95">
        <f t="shared" si="94"/>
        <v>4.7519999999999999E-5</v>
      </c>
      <c r="AU108" s="94">
        <f t="shared" si="73"/>
        <v>21.392266176927336</v>
      </c>
      <c r="AV108" s="92">
        <f t="shared" si="74"/>
        <v>333.29999999999995</v>
      </c>
      <c r="AW108" s="95">
        <f t="shared" si="75"/>
        <v>93.968781330502281</v>
      </c>
    </row>
    <row r="109" spans="17:49" x14ac:dyDescent="0.25">
      <c r="Q109" s="32">
        <v>102</v>
      </c>
      <c r="R109" s="94">
        <f t="shared" si="49"/>
        <v>45</v>
      </c>
      <c r="S109" s="92">
        <f t="shared" si="79"/>
        <v>7.48</v>
      </c>
      <c r="T109" s="92">
        <f t="shared" si="51"/>
        <v>14.4</v>
      </c>
      <c r="U109" s="95">
        <f t="shared" si="80"/>
        <v>23.375</v>
      </c>
      <c r="V109" s="94">
        <f>IF(Variable_Management!$B$23=3,2,IF((S109*R109/T109)&lt;((T109*(1-(T109/R109)))/(2*Lm*Fsw)),1,2))</f>
        <v>2</v>
      </c>
      <c r="W109" s="92">
        <f t="shared" si="81"/>
        <v>0.67999999999999994</v>
      </c>
      <c r="X109" s="95">
        <f t="shared" si="82"/>
        <v>0.32000000000000006</v>
      </c>
      <c r="Y109" s="94">
        <f t="shared" si="83"/>
        <v>7.4181818181818189</v>
      </c>
      <c r="Z109" s="92">
        <f t="shared" si="77"/>
        <v>27.084090909090911</v>
      </c>
      <c r="AA109" s="92">
        <f t="shared" si="78"/>
        <v>23.472886701979519</v>
      </c>
      <c r="AB109" s="92">
        <v>0</v>
      </c>
      <c r="AC109" s="92">
        <f t="shared" si="84"/>
        <v>3.305858460743802</v>
      </c>
      <c r="AD109" s="95">
        <f t="shared" si="67"/>
        <v>3.305858460743802</v>
      </c>
      <c r="AE109" s="94">
        <f t="shared" si="76"/>
        <v>15.894999999999998</v>
      </c>
      <c r="AF109" s="92">
        <f t="shared" si="68"/>
        <v>19.356238242083545</v>
      </c>
      <c r="AG109" s="92">
        <f t="shared" si="85"/>
        <v>2.6226477121900826</v>
      </c>
      <c r="AH109" s="92">
        <f t="shared" si="86"/>
        <v>7.3298270089285715</v>
      </c>
      <c r="AI109" s="95">
        <f t="shared" si="69"/>
        <v>9.9524747211186551</v>
      </c>
      <c r="AJ109" s="94">
        <f t="shared" si="70"/>
        <v>7.4800000000000013</v>
      </c>
      <c r="AK109" s="92">
        <f t="shared" si="87"/>
        <v>13.278269888794604</v>
      </c>
      <c r="AL109" s="92">
        <f t="shared" si="88"/>
        <v>1.2341871586776862</v>
      </c>
      <c r="AM109" s="92">
        <f t="shared" si="95"/>
        <v>0.34846000000000005</v>
      </c>
      <c r="AN109" s="211">
        <f t="shared" si="89"/>
        <v>0.46042954545454551</v>
      </c>
      <c r="AO109" s="95">
        <f t="shared" si="72"/>
        <v>2.0430767041322317</v>
      </c>
      <c r="AP109" s="94">
        <f t="shared" si="90"/>
        <v>0.82646461518595049</v>
      </c>
      <c r="AQ109" s="230">
        <f t="shared" si="91"/>
        <v>3.305858460743802</v>
      </c>
      <c r="AR109" s="230">
        <f t="shared" si="92"/>
        <v>2.2167935757072685</v>
      </c>
      <c r="AS109" s="92">
        <f t="shared" si="93"/>
        <v>3.6000000000000004E-2</v>
      </c>
      <c r="AT109" s="95">
        <f t="shared" si="94"/>
        <v>4.7519999999999999E-5</v>
      </c>
      <c r="AU109" s="94">
        <f t="shared" si="73"/>
        <v>21.686574057631709</v>
      </c>
      <c r="AV109" s="92">
        <f t="shared" si="74"/>
        <v>336.6</v>
      </c>
      <c r="AW109" s="95">
        <f t="shared" si="75"/>
        <v>93.947142977748484</v>
      </c>
    </row>
    <row r="110" spans="17:49" x14ac:dyDescent="0.25">
      <c r="Q110" s="32">
        <v>103</v>
      </c>
      <c r="R110" s="94">
        <f t="shared" si="49"/>
        <v>45</v>
      </c>
      <c r="S110" s="92">
        <f t="shared" si="79"/>
        <v>7.5533333333333337</v>
      </c>
      <c r="T110" s="92">
        <f t="shared" si="51"/>
        <v>14.4</v>
      </c>
      <c r="U110" s="95">
        <f t="shared" si="80"/>
        <v>23.604166666666668</v>
      </c>
      <c r="V110" s="94">
        <f>IF(Variable_Management!$B$23=3,2,IF((S110*R110/T110)&lt;((T110*(1-(T110/R110)))/(2*Lm*Fsw)),1,2))</f>
        <v>2</v>
      </c>
      <c r="W110" s="92">
        <f t="shared" si="81"/>
        <v>0.67999999999999994</v>
      </c>
      <c r="X110" s="95">
        <f t="shared" si="82"/>
        <v>0.32000000000000006</v>
      </c>
      <c r="Y110" s="94">
        <f t="shared" si="83"/>
        <v>7.4181818181818189</v>
      </c>
      <c r="Z110" s="92">
        <f t="shared" si="77"/>
        <v>27.313257575757579</v>
      </c>
      <c r="AA110" s="92">
        <f t="shared" si="78"/>
        <v>23.7011069182801</v>
      </c>
      <c r="AB110" s="92">
        <v>0</v>
      </c>
      <c r="AC110" s="92">
        <f t="shared" si="84"/>
        <v>3.3704548149104689</v>
      </c>
      <c r="AD110" s="95">
        <f t="shared" si="67"/>
        <v>3.3704548149104689</v>
      </c>
      <c r="AE110" s="94">
        <f t="shared" si="76"/>
        <v>16.050833333333333</v>
      </c>
      <c r="AF110" s="92">
        <f t="shared" si="68"/>
        <v>19.544433453625267</v>
      </c>
      <c r="AG110" s="92">
        <f t="shared" si="85"/>
        <v>2.6738941531623053</v>
      </c>
      <c r="AH110" s="92">
        <f t="shared" si="86"/>
        <v>7.4016880580357141</v>
      </c>
      <c r="AI110" s="95">
        <f t="shared" si="69"/>
        <v>10.07558221119802</v>
      </c>
      <c r="AJ110" s="94">
        <f t="shared" si="70"/>
        <v>7.5533333333333355</v>
      </c>
      <c r="AK110" s="92">
        <f t="shared" si="87"/>
        <v>13.407370738834606</v>
      </c>
      <c r="AL110" s="92">
        <f t="shared" si="88"/>
        <v>1.2583031308999089</v>
      </c>
      <c r="AM110" s="92">
        <f t="shared" si="95"/>
        <v>0.34846000000000005</v>
      </c>
      <c r="AN110" s="211">
        <f t="shared" si="89"/>
        <v>0.46432537878787888</v>
      </c>
      <c r="AO110" s="95">
        <f t="shared" si="72"/>
        <v>2.0710885096877876</v>
      </c>
      <c r="AP110" s="94">
        <f t="shared" si="90"/>
        <v>0.84261370372761724</v>
      </c>
      <c r="AQ110" s="230">
        <f t="shared" si="91"/>
        <v>3.3704548149104689</v>
      </c>
      <c r="AR110" s="230">
        <f t="shared" si="92"/>
        <v>2.2167935757072685</v>
      </c>
      <c r="AS110" s="92">
        <f t="shared" si="93"/>
        <v>3.6000000000000004E-2</v>
      </c>
      <c r="AT110" s="95">
        <f t="shared" si="94"/>
        <v>4.7519999999999999E-5</v>
      </c>
      <c r="AU110" s="94">
        <f t="shared" si="73"/>
        <v>21.983035150141632</v>
      </c>
      <c r="AV110" s="92">
        <f t="shared" si="74"/>
        <v>339.90000000000003</v>
      </c>
      <c r="AW110" s="95">
        <f t="shared" si="75"/>
        <v>93.925375600704498</v>
      </c>
    </row>
    <row r="111" spans="17:49" x14ac:dyDescent="0.25">
      <c r="Q111" s="32">
        <v>104</v>
      </c>
      <c r="R111" s="94">
        <f t="shared" si="49"/>
        <v>45</v>
      </c>
      <c r="S111" s="92">
        <f t="shared" si="79"/>
        <v>7.6266666666666669</v>
      </c>
      <c r="T111" s="92">
        <f t="shared" si="51"/>
        <v>14.4</v>
      </c>
      <c r="U111" s="95">
        <f t="shared" si="80"/>
        <v>23.833333333333332</v>
      </c>
      <c r="V111" s="94">
        <f>IF(Variable_Management!$B$23=3,2,IF((S111*R111/T111)&lt;((T111*(1-(T111/R111)))/(2*Lm*Fsw)),1,2))</f>
        <v>2</v>
      </c>
      <c r="W111" s="92">
        <f t="shared" si="81"/>
        <v>0.67999999999999994</v>
      </c>
      <c r="X111" s="95">
        <f t="shared" si="82"/>
        <v>0.32000000000000006</v>
      </c>
      <c r="Y111" s="94">
        <f t="shared" si="83"/>
        <v>7.4181818181818189</v>
      </c>
      <c r="Z111" s="92">
        <f t="shared" si="77"/>
        <v>27.542424242424243</v>
      </c>
      <c r="AA111" s="92">
        <f t="shared" si="78"/>
        <v>23.929345225094327</v>
      </c>
      <c r="AB111" s="92">
        <v>0</v>
      </c>
      <c r="AC111" s="92">
        <f t="shared" si="84"/>
        <v>3.435681377410468</v>
      </c>
      <c r="AD111" s="95">
        <f t="shared" si="67"/>
        <v>3.435681377410468</v>
      </c>
      <c r="AE111" s="94">
        <f t="shared" si="76"/>
        <v>16.206666666666663</v>
      </c>
      <c r="AF111" s="92">
        <f t="shared" si="68"/>
        <v>19.732643582986704</v>
      </c>
      <c r="AG111" s="92">
        <f t="shared" si="85"/>
        <v>2.7256405594123048</v>
      </c>
      <c r="AH111" s="92">
        <f t="shared" si="86"/>
        <v>7.4735491071428566</v>
      </c>
      <c r="AI111" s="95">
        <f t="shared" si="69"/>
        <v>10.199189666555162</v>
      </c>
      <c r="AJ111" s="94">
        <f t="shared" si="70"/>
        <v>7.6266666666666678</v>
      </c>
      <c r="AK111" s="92">
        <f t="shared" si="87"/>
        <v>13.536481822414506</v>
      </c>
      <c r="AL111" s="92">
        <f t="shared" si="88"/>
        <v>1.2826543808999087</v>
      </c>
      <c r="AM111" s="92">
        <f t="shared" si="95"/>
        <v>0.34846000000000005</v>
      </c>
      <c r="AN111" s="211">
        <f t="shared" si="89"/>
        <v>0.46822121212121215</v>
      </c>
      <c r="AO111" s="95">
        <f t="shared" si="72"/>
        <v>2.099335593021121</v>
      </c>
      <c r="AP111" s="94">
        <f t="shared" si="90"/>
        <v>0.85892034435261699</v>
      </c>
      <c r="AQ111" s="230">
        <f t="shared" si="91"/>
        <v>3.435681377410468</v>
      </c>
      <c r="AR111" s="230">
        <f t="shared" si="92"/>
        <v>2.2167935757072685</v>
      </c>
      <c r="AS111" s="92">
        <f t="shared" si="93"/>
        <v>3.6000000000000004E-2</v>
      </c>
      <c r="AT111" s="95">
        <f t="shared" si="94"/>
        <v>4.7519999999999999E-5</v>
      </c>
      <c r="AU111" s="94">
        <f t="shared" si="73"/>
        <v>22.281649454457103</v>
      </c>
      <c r="AV111" s="92">
        <f t="shared" si="74"/>
        <v>343.2</v>
      </c>
      <c r="AW111" s="95">
        <f t="shared" si="75"/>
        <v>93.903483393019528</v>
      </c>
    </row>
    <row r="112" spans="17:49" x14ac:dyDescent="0.25">
      <c r="Q112" s="32">
        <v>105</v>
      </c>
      <c r="R112" s="94">
        <f t="shared" si="49"/>
        <v>45</v>
      </c>
      <c r="S112" s="92">
        <f t="shared" si="79"/>
        <v>7.7</v>
      </c>
      <c r="T112" s="92">
        <f t="shared" si="51"/>
        <v>14.4</v>
      </c>
      <c r="U112" s="95">
        <f t="shared" si="80"/>
        <v>24.0625</v>
      </c>
      <c r="V112" s="94">
        <f>IF(Variable_Management!$B$23=3,2,IF((S112*R112/T112)&lt;((T112*(1-(T112/R112)))/(2*Lm*Fsw)),1,2))</f>
        <v>2</v>
      </c>
      <c r="W112" s="92">
        <f t="shared" si="81"/>
        <v>0.67999999999999994</v>
      </c>
      <c r="X112" s="95">
        <f t="shared" si="82"/>
        <v>0.32000000000000006</v>
      </c>
      <c r="Y112" s="94">
        <f t="shared" si="83"/>
        <v>7.4181818181818189</v>
      </c>
      <c r="Z112" s="92">
        <f t="shared" si="77"/>
        <v>27.771590909090911</v>
      </c>
      <c r="AA112" s="92">
        <f t="shared" si="78"/>
        <v>24.157601109670782</v>
      </c>
      <c r="AB112" s="92">
        <v>0</v>
      </c>
      <c r="AC112" s="92">
        <f t="shared" si="84"/>
        <v>3.5015381482438026</v>
      </c>
      <c r="AD112" s="95">
        <f t="shared" si="67"/>
        <v>3.5015381482438026</v>
      </c>
      <c r="AE112" s="94">
        <f t="shared" si="76"/>
        <v>16.362499999999997</v>
      </c>
      <c r="AF112" s="92">
        <f t="shared" si="68"/>
        <v>19.920868207342206</v>
      </c>
      <c r="AG112" s="92">
        <f t="shared" si="85"/>
        <v>2.7778869309400824</v>
      </c>
      <c r="AH112" s="92">
        <f t="shared" si="86"/>
        <v>7.54541015625</v>
      </c>
      <c r="AI112" s="95">
        <f t="shared" si="69"/>
        <v>10.323297087190083</v>
      </c>
      <c r="AJ112" s="94">
        <f t="shared" si="70"/>
        <v>7.7000000000000011</v>
      </c>
      <c r="AK112" s="92">
        <f t="shared" si="87"/>
        <v>13.665602849478299</v>
      </c>
      <c r="AL112" s="92">
        <f t="shared" si="88"/>
        <v>1.3072409086776859</v>
      </c>
      <c r="AM112" s="92">
        <f t="shared" si="95"/>
        <v>0.34846000000000005</v>
      </c>
      <c r="AN112" s="211">
        <f t="shared" si="89"/>
        <v>0.47211704545454553</v>
      </c>
      <c r="AO112" s="95">
        <f t="shared" si="72"/>
        <v>2.1278179541322313</v>
      </c>
      <c r="AP112" s="94">
        <f t="shared" si="90"/>
        <v>0.87538453706095065</v>
      </c>
      <c r="AQ112" s="230">
        <f t="shared" si="91"/>
        <v>3.5015381482438026</v>
      </c>
      <c r="AR112" s="230">
        <f t="shared" si="92"/>
        <v>2.2167935757072685</v>
      </c>
      <c r="AS112" s="92">
        <f t="shared" si="93"/>
        <v>3.6000000000000004E-2</v>
      </c>
      <c r="AT112" s="95">
        <f t="shared" si="94"/>
        <v>4.7519999999999999E-5</v>
      </c>
      <c r="AU112" s="94">
        <f t="shared" si="73"/>
        <v>22.582416970578137</v>
      </c>
      <c r="AV112" s="92">
        <f t="shared" si="74"/>
        <v>346.5</v>
      </c>
      <c r="AW112" s="95">
        <f t="shared" si="75"/>
        <v>93.881470389206228</v>
      </c>
    </row>
    <row r="113" spans="17:49" x14ac:dyDescent="0.25">
      <c r="Q113" s="32">
        <v>106</v>
      </c>
      <c r="R113" s="94">
        <f t="shared" si="49"/>
        <v>45</v>
      </c>
      <c r="S113" s="92">
        <f t="shared" si="79"/>
        <v>7.7733333333333334</v>
      </c>
      <c r="T113" s="92">
        <f t="shared" si="51"/>
        <v>14.4</v>
      </c>
      <c r="U113" s="95">
        <f t="shared" si="80"/>
        <v>24.291666666666668</v>
      </c>
      <c r="V113" s="94">
        <f>IF(Variable_Management!$B$23=3,2,IF((S113*R113/T113)&lt;((T113*(1-(T113/R113)))/(2*Lm*Fsw)),1,2))</f>
        <v>2</v>
      </c>
      <c r="W113" s="92">
        <f t="shared" si="81"/>
        <v>0.67999999999999994</v>
      </c>
      <c r="X113" s="95">
        <f t="shared" si="82"/>
        <v>0.32000000000000006</v>
      </c>
      <c r="Y113" s="94">
        <f t="shared" si="83"/>
        <v>7.4181818181818189</v>
      </c>
      <c r="Z113" s="92">
        <f t="shared" si="77"/>
        <v>28.000757575757579</v>
      </c>
      <c r="AA113" s="92">
        <f t="shared" si="78"/>
        <v>24.385874078417025</v>
      </c>
      <c r="AB113" s="92">
        <v>0</v>
      </c>
      <c r="AC113" s="92">
        <f t="shared" si="84"/>
        <v>3.5680251274104684</v>
      </c>
      <c r="AD113" s="95">
        <f t="shared" si="67"/>
        <v>3.5680251274104684</v>
      </c>
      <c r="AE113" s="94">
        <f t="shared" si="76"/>
        <v>16.518333333333331</v>
      </c>
      <c r="AF113" s="92">
        <f t="shared" si="68"/>
        <v>20.109106919665027</v>
      </c>
      <c r="AG113" s="92">
        <f t="shared" si="85"/>
        <v>2.8306332677456392</v>
      </c>
      <c r="AH113" s="92">
        <f t="shared" si="86"/>
        <v>7.6172712053571425</v>
      </c>
      <c r="AI113" s="95">
        <f t="shared" si="69"/>
        <v>10.447904473102781</v>
      </c>
      <c r="AJ113" s="94">
        <f t="shared" si="70"/>
        <v>7.7733333333333352</v>
      </c>
      <c r="AK113" s="92">
        <f t="shared" si="87"/>
        <v>13.794733540807947</v>
      </c>
      <c r="AL113" s="92">
        <f t="shared" si="88"/>
        <v>1.3320627142332424</v>
      </c>
      <c r="AM113" s="92">
        <f t="shared" si="95"/>
        <v>0.34846000000000005</v>
      </c>
      <c r="AN113" s="211">
        <f t="shared" si="89"/>
        <v>0.47601287878787885</v>
      </c>
      <c r="AO113" s="95">
        <f t="shared" si="72"/>
        <v>2.1565355930211214</v>
      </c>
      <c r="AP113" s="94">
        <f t="shared" si="90"/>
        <v>0.8920062818526171</v>
      </c>
      <c r="AQ113" s="230">
        <f t="shared" si="91"/>
        <v>3.5680251274104684</v>
      </c>
      <c r="AR113" s="230">
        <f t="shared" si="92"/>
        <v>2.2167935757072685</v>
      </c>
      <c r="AS113" s="92">
        <f t="shared" si="93"/>
        <v>3.6000000000000004E-2</v>
      </c>
      <c r="AT113" s="95">
        <f t="shared" si="94"/>
        <v>4.7519999999999999E-5</v>
      </c>
      <c r="AU113" s="94">
        <f t="shared" si="73"/>
        <v>22.885337698504724</v>
      </c>
      <c r="AV113" s="92">
        <f t="shared" si="74"/>
        <v>349.8</v>
      </c>
      <c r="AW113" s="95">
        <f t="shared" si="75"/>
        <v>93.859340472090551</v>
      </c>
    </row>
    <row r="114" spans="17:49" x14ac:dyDescent="0.25">
      <c r="Q114" s="32">
        <v>107</v>
      </c>
      <c r="R114" s="94">
        <f t="shared" si="49"/>
        <v>45</v>
      </c>
      <c r="S114" s="92">
        <f t="shared" si="79"/>
        <v>7.8466666666666667</v>
      </c>
      <c r="T114" s="92">
        <f t="shared" si="51"/>
        <v>14.4</v>
      </c>
      <c r="U114" s="95">
        <f t="shared" si="80"/>
        <v>24.520833333333336</v>
      </c>
      <c r="V114" s="94">
        <f>IF(Variable_Management!$B$23=3,2,IF((S114*R114/T114)&lt;((T114*(1-(T114/R114)))/(2*Lm*Fsw)),1,2))</f>
        <v>2</v>
      </c>
      <c r="W114" s="92">
        <f t="shared" si="81"/>
        <v>0.67999999999999994</v>
      </c>
      <c r="X114" s="95">
        <f t="shared" si="82"/>
        <v>0.32000000000000006</v>
      </c>
      <c r="Y114" s="94">
        <f t="shared" si="83"/>
        <v>7.4181818181818189</v>
      </c>
      <c r="Z114" s="92">
        <f t="shared" si="77"/>
        <v>28.229924242424246</v>
      </c>
      <c r="AA114" s="92">
        <f t="shared" si="78"/>
        <v>24.614163656014764</v>
      </c>
      <c r="AB114" s="92">
        <v>0</v>
      </c>
      <c r="AC114" s="92">
        <f t="shared" si="84"/>
        <v>3.6351423149104685</v>
      </c>
      <c r="AD114" s="95">
        <f t="shared" si="67"/>
        <v>3.6351423149104685</v>
      </c>
      <c r="AE114" s="94">
        <f t="shared" si="76"/>
        <v>16.674166666666668</v>
      </c>
      <c r="AF114" s="92">
        <f t="shared" si="68"/>
        <v>20.297359327997647</v>
      </c>
      <c r="AG114" s="92">
        <f t="shared" si="85"/>
        <v>2.8838795698289719</v>
      </c>
      <c r="AH114" s="92">
        <f t="shared" si="86"/>
        <v>7.6891322544642859</v>
      </c>
      <c r="AI114" s="95">
        <f t="shared" si="69"/>
        <v>10.573011824293257</v>
      </c>
      <c r="AJ114" s="94">
        <f t="shared" si="70"/>
        <v>7.8466666666666693</v>
      </c>
      <c r="AK114" s="92">
        <f t="shared" si="87"/>
        <v>13.923873627522806</v>
      </c>
      <c r="AL114" s="92">
        <f t="shared" si="88"/>
        <v>1.3571197975665759</v>
      </c>
      <c r="AM114" s="92">
        <f t="shared" si="95"/>
        <v>0.34846000000000005</v>
      </c>
      <c r="AN114" s="211">
        <f t="shared" si="89"/>
        <v>0.47990871212121222</v>
      </c>
      <c r="AO114" s="95">
        <f t="shared" si="72"/>
        <v>2.1854885096877883</v>
      </c>
      <c r="AP114" s="94">
        <f t="shared" si="90"/>
        <v>0.90878557872761712</v>
      </c>
      <c r="AQ114" s="230">
        <f t="shared" si="91"/>
        <v>3.6351423149104685</v>
      </c>
      <c r="AR114" s="230">
        <f t="shared" si="92"/>
        <v>2.2167935757072685</v>
      </c>
      <c r="AS114" s="92">
        <f t="shared" si="93"/>
        <v>3.6000000000000004E-2</v>
      </c>
      <c r="AT114" s="95">
        <f t="shared" si="94"/>
        <v>4.7519999999999999E-5</v>
      </c>
      <c r="AU114" s="94">
        <f t="shared" si="73"/>
        <v>23.190411638236867</v>
      </c>
      <c r="AV114" s="92">
        <f t="shared" si="74"/>
        <v>353.1</v>
      </c>
      <c r="AW114" s="95">
        <f t="shared" si="75"/>
        <v>93.837097379847151</v>
      </c>
    </row>
    <row r="115" spans="17:49" x14ac:dyDescent="0.25">
      <c r="Q115" s="32">
        <v>108</v>
      </c>
      <c r="R115" s="94">
        <f t="shared" si="49"/>
        <v>45</v>
      </c>
      <c r="S115" s="92">
        <f t="shared" si="79"/>
        <v>7.92</v>
      </c>
      <c r="T115" s="92">
        <f t="shared" si="51"/>
        <v>14.4</v>
      </c>
      <c r="U115" s="95">
        <f t="shared" si="80"/>
        <v>24.749999999999996</v>
      </c>
      <c r="V115" s="94">
        <f>IF(Variable_Management!$B$23=3,2,IF((S115*R115/T115)&lt;((T115*(1-(T115/R115)))/(2*Lm*Fsw)),1,2))</f>
        <v>2</v>
      </c>
      <c r="W115" s="92">
        <f t="shared" si="81"/>
        <v>0.67999999999999994</v>
      </c>
      <c r="X115" s="95">
        <f t="shared" si="82"/>
        <v>0.32000000000000006</v>
      </c>
      <c r="Y115" s="94">
        <f t="shared" si="83"/>
        <v>7.4181818181818189</v>
      </c>
      <c r="Z115" s="92">
        <f t="shared" si="77"/>
        <v>28.459090909090907</v>
      </c>
      <c r="AA115" s="92">
        <f t="shared" si="78"/>
        <v>24.842469384583463</v>
      </c>
      <c r="AB115" s="92">
        <v>0</v>
      </c>
      <c r="AC115" s="92">
        <f t="shared" si="84"/>
        <v>3.7028897107438006</v>
      </c>
      <c r="AD115" s="95">
        <f t="shared" si="67"/>
        <v>3.7028897107438006</v>
      </c>
      <c r="AE115" s="94">
        <f t="shared" si="76"/>
        <v>16.829999999999995</v>
      </c>
      <c r="AF115" s="92">
        <f t="shared" si="68"/>
        <v>20.485625054762117</v>
      </c>
      <c r="AG115" s="92">
        <f t="shared" si="85"/>
        <v>2.9376258371900819</v>
      </c>
      <c r="AH115" s="92">
        <f t="shared" si="86"/>
        <v>7.7609933035714267</v>
      </c>
      <c r="AI115" s="95">
        <f t="shared" si="69"/>
        <v>10.698619140761508</v>
      </c>
      <c r="AJ115" s="94">
        <f t="shared" si="70"/>
        <v>7.9200000000000008</v>
      </c>
      <c r="AK115" s="92">
        <f t="shared" si="87"/>
        <v>14.053022850606535</v>
      </c>
      <c r="AL115" s="92">
        <f t="shared" si="88"/>
        <v>1.3824121586776859</v>
      </c>
      <c r="AM115" s="92">
        <f t="shared" si="95"/>
        <v>0.34846000000000005</v>
      </c>
      <c r="AN115" s="211">
        <f t="shared" si="89"/>
        <v>0.48380454545454543</v>
      </c>
      <c r="AO115" s="95">
        <f t="shared" si="72"/>
        <v>2.2146767041322315</v>
      </c>
      <c r="AP115" s="94">
        <f t="shared" si="90"/>
        <v>0.92572242768595014</v>
      </c>
      <c r="AQ115" s="230">
        <f t="shared" si="91"/>
        <v>3.7028897107438006</v>
      </c>
      <c r="AR115" s="230">
        <f t="shared" si="92"/>
        <v>2.2167935757072685</v>
      </c>
      <c r="AS115" s="92">
        <f t="shared" si="93"/>
        <v>3.6000000000000004E-2</v>
      </c>
      <c r="AT115" s="95">
        <f t="shared" si="94"/>
        <v>4.7519999999999999E-5</v>
      </c>
      <c r="AU115" s="94">
        <f t="shared" si="73"/>
        <v>23.497638789774559</v>
      </c>
      <c r="AV115" s="92">
        <f t="shared" si="74"/>
        <v>356.4</v>
      </c>
      <c r="AW115" s="95">
        <f t="shared" si="75"/>
        <v>93.814744712646785</v>
      </c>
    </row>
    <row r="116" spans="17:49" x14ac:dyDescent="0.25">
      <c r="Q116" s="32">
        <v>109</v>
      </c>
      <c r="R116" s="94">
        <f t="shared" si="49"/>
        <v>45</v>
      </c>
      <c r="S116" s="92">
        <f t="shared" si="79"/>
        <v>7.9933333333333332</v>
      </c>
      <c r="T116" s="92">
        <f t="shared" si="51"/>
        <v>14.4</v>
      </c>
      <c r="U116" s="95">
        <f t="shared" si="80"/>
        <v>24.979166666666664</v>
      </c>
      <c r="V116" s="94">
        <f>IF(Variable_Management!$B$23=3,2,IF((S116*R116/T116)&lt;((T116*(1-(T116/R116)))/(2*Lm*Fsw)),1,2))</f>
        <v>2</v>
      </c>
      <c r="W116" s="92">
        <f t="shared" si="81"/>
        <v>0.67999999999999994</v>
      </c>
      <c r="X116" s="95">
        <f t="shared" si="82"/>
        <v>0.32000000000000006</v>
      </c>
      <c r="Y116" s="94">
        <f t="shared" si="83"/>
        <v>7.4181818181818189</v>
      </c>
      <c r="Z116" s="92">
        <f t="shared" si="77"/>
        <v>28.688257575757575</v>
      </c>
      <c r="AA116" s="92">
        <f t="shared" si="78"/>
        <v>25.07079082288945</v>
      </c>
      <c r="AB116" s="92">
        <v>0</v>
      </c>
      <c r="AC116" s="92">
        <f t="shared" si="84"/>
        <v>3.771267314910467</v>
      </c>
      <c r="AD116" s="95">
        <f t="shared" si="67"/>
        <v>3.771267314910467</v>
      </c>
      <c r="AE116" s="94">
        <f t="shared" si="76"/>
        <v>16.985833333333328</v>
      </c>
      <c r="AF116" s="92">
        <f t="shared" si="68"/>
        <v>20.673903736107821</v>
      </c>
      <c r="AG116" s="92">
        <f t="shared" si="85"/>
        <v>2.9918720698289705</v>
      </c>
      <c r="AH116" s="92">
        <f t="shared" si="86"/>
        <v>7.832854352678571</v>
      </c>
      <c r="AI116" s="95">
        <f t="shared" si="69"/>
        <v>10.824726422507542</v>
      </c>
      <c r="AJ116" s="94">
        <f t="shared" si="70"/>
        <v>7.9933333333333341</v>
      </c>
      <c r="AK116" s="92">
        <f t="shared" si="87"/>
        <v>14.182180960459677</v>
      </c>
      <c r="AL116" s="92">
        <f t="shared" si="88"/>
        <v>1.4079397975665748</v>
      </c>
      <c r="AM116" s="92">
        <f t="shared" si="95"/>
        <v>0.34846000000000005</v>
      </c>
      <c r="AN116" s="211">
        <f t="shared" si="89"/>
        <v>0.48770037878787881</v>
      </c>
      <c r="AO116" s="95">
        <f t="shared" si="72"/>
        <v>2.2441001763544537</v>
      </c>
      <c r="AP116" s="94">
        <f t="shared" si="90"/>
        <v>0.94281682872761674</v>
      </c>
      <c r="AQ116" s="230">
        <f t="shared" si="91"/>
        <v>3.771267314910467</v>
      </c>
      <c r="AR116" s="230">
        <f t="shared" si="92"/>
        <v>2.2167935757072685</v>
      </c>
      <c r="AS116" s="92">
        <f t="shared" si="93"/>
        <v>3.6000000000000004E-2</v>
      </c>
      <c r="AT116" s="95">
        <f t="shared" si="94"/>
        <v>4.7519999999999999E-5</v>
      </c>
      <c r="AU116" s="94">
        <f t="shared" si="73"/>
        <v>23.807019153117814</v>
      </c>
      <c r="AV116" s="92">
        <f t="shared" si="74"/>
        <v>359.7</v>
      </c>
      <c r="AW116" s="95">
        <f t="shared" si="75"/>
        <v>93.792285938940609</v>
      </c>
    </row>
    <row r="117" spans="17:49" x14ac:dyDescent="0.25">
      <c r="Q117" s="32">
        <v>110</v>
      </c>
      <c r="R117" s="94">
        <f t="shared" si="49"/>
        <v>45</v>
      </c>
      <c r="S117" s="92">
        <f t="shared" si="79"/>
        <v>8.0666666666666664</v>
      </c>
      <c r="T117" s="92">
        <f t="shared" si="51"/>
        <v>14.4</v>
      </c>
      <c r="U117" s="95">
        <f t="shared" si="80"/>
        <v>25.208333333333332</v>
      </c>
      <c r="V117" s="94">
        <f>IF(Variable_Management!$B$23=3,2,IF((S117*R117/T117)&lt;((T117*(1-(T117/R117)))/(2*Lm*Fsw)),1,2))</f>
        <v>2</v>
      </c>
      <c r="W117" s="92">
        <f t="shared" si="81"/>
        <v>0.67999999999999994</v>
      </c>
      <c r="X117" s="95">
        <f t="shared" si="82"/>
        <v>0.32000000000000006</v>
      </c>
      <c r="Y117" s="94">
        <f t="shared" si="83"/>
        <v>7.4181818181818189</v>
      </c>
      <c r="Z117" s="92">
        <f t="shared" si="77"/>
        <v>28.917424242424243</v>
      </c>
      <c r="AA117" s="92">
        <f t="shared" si="78"/>
        <v>25.299127545597521</v>
      </c>
      <c r="AB117" s="92">
        <v>0</v>
      </c>
      <c r="AC117" s="92">
        <f t="shared" si="84"/>
        <v>3.8402751274104681</v>
      </c>
      <c r="AD117" s="95">
        <f t="shared" si="67"/>
        <v>3.8402751274104681</v>
      </c>
      <c r="AE117" s="94">
        <f t="shared" si="76"/>
        <v>17.141666666666666</v>
      </c>
      <c r="AF117" s="92">
        <f t="shared" si="68"/>
        <v>20.862195021294372</v>
      </c>
      <c r="AG117" s="92">
        <f t="shared" si="85"/>
        <v>3.0466182677456377</v>
      </c>
      <c r="AH117" s="92">
        <f t="shared" si="86"/>
        <v>7.9047154017857144</v>
      </c>
      <c r="AI117" s="95">
        <f t="shared" si="69"/>
        <v>10.951333669531351</v>
      </c>
      <c r="AJ117" s="94">
        <f t="shared" si="70"/>
        <v>8.0666666666666682</v>
      </c>
      <c r="AK117" s="92">
        <f t="shared" si="87"/>
        <v>14.311347716476309</v>
      </c>
      <c r="AL117" s="92">
        <f t="shared" si="88"/>
        <v>1.4337027142332417</v>
      </c>
      <c r="AM117" s="92">
        <f t="shared" si="95"/>
        <v>0.34846000000000005</v>
      </c>
      <c r="AN117" s="211">
        <f t="shared" si="89"/>
        <v>0.49159621212121218</v>
      </c>
      <c r="AO117" s="95">
        <f t="shared" si="72"/>
        <v>2.273758926354454</v>
      </c>
      <c r="AP117" s="94">
        <f t="shared" si="90"/>
        <v>0.96006878185261701</v>
      </c>
      <c r="AQ117" s="230">
        <f t="shared" si="91"/>
        <v>3.8402751274104681</v>
      </c>
      <c r="AR117" s="230">
        <f t="shared" si="92"/>
        <v>2.2167935757072685</v>
      </c>
      <c r="AS117" s="92">
        <f t="shared" si="93"/>
        <v>3.6000000000000004E-2</v>
      </c>
      <c r="AT117" s="95">
        <f t="shared" si="94"/>
        <v>4.7519999999999999E-5</v>
      </c>
      <c r="AU117" s="94">
        <f t="shared" si="73"/>
        <v>24.118552728266625</v>
      </c>
      <c r="AV117" s="92">
        <f t="shared" si="74"/>
        <v>363</v>
      </c>
      <c r="AW117" s="95">
        <f t="shared" si="75"/>
        <v>93.769724401404147</v>
      </c>
    </row>
    <row r="118" spans="17:49" x14ac:dyDescent="0.25">
      <c r="Q118" s="32">
        <v>111</v>
      </c>
      <c r="R118" s="94">
        <f t="shared" si="49"/>
        <v>45</v>
      </c>
      <c r="S118" s="92">
        <f t="shared" si="79"/>
        <v>8.14</v>
      </c>
      <c r="T118" s="92">
        <f t="shared" si="51"/>
        <v>14.4</v>
      </c>
      <c r="U118" s="95">
        <f t="shared" si="80"/>
        <v>25.4375</v>
      </c>
      <c r="V118" s="94">
        <f>IF(Variable_Management!$B$23=3,2,IF((S118*R118/T118)&lt;((T118*(1-(T118/R118)))/(2*Lm*Fsw)),1,2))</f>
        <v>2</v>
      </c>
      <c r="W118" s="92">
        <f t="shared" si="81"/>
        <v>0.67999999999999994</v>
      </c>
      <c r="X118" s="95">
        <f t="shared" si="82"/>
        <v>0.32000000000000006</v>
      </c>
      <c r="Y118" s="94">
        <f t="shared" si="83"/>
        <v>7.4181818181818189</v>
      </c>
      <c r="Z118" s="92">
        <f t="shared" si="77"/>
        <v>29.146590909090911</v>
      </c>
      <c r="AA118" s="92">
        <f t="shared" si="78"/>
        <v>25.527479142562569</v>
      </c>
      <c r="AB118" s="92">
        <v>0</v>
      </c>
      <c r="AC118" s="92">
        <f t="shared" si="84"/>
        <v>3.9099131482438017</v>
      </c>
      <c r="AD118" s="95">
        <f t="shared" si="67"/>
        <v>3.9099131482438017</v>
      </c>
      <c r="AE118" s="94">
        <f t="shared" si="76"/>
        <v>17.297499999999999</v>
      </c>
      <c r="AF118" s="92">
        <f t="shared" si="68"/>
        <v>21.050498572107443</v>
      </c>
      <c r="AG118" s="92">
        <f t="shared" si="85"/>
        <v>3.1018644309400827</v>
      </c>
      <c r="AH118" s="92">
        <f t="shared" si="86"/>
        <v>7.9765764508928569</v>
      </c>
      <c r="AI118" s="95">
        <f t="shared" si="69"/>
        <v>11.07844088183294</v>
      </c>
      <c r="AJ118" s="94">
        <f t="shared" si="70"/>
        <v>8.1400000000000023</v>
      </c>
      <c r="AK118" s="92">
        <f t="shared" si="87"/>
        <v>14.440522886643318</v>
      </c>
      <c r="AL118" s="92">
        <f t="shared" si="88"/>
        <v>1.4597009086776864</v>
      </c>
      <c r="AM118" s="92">
        <f t="shared" si="95"/>
        <v>0.34846000000000005</v>
      </c>
      <c r="AN118" s="211">
        <f t="shared" si="89"/>
        <v>0.4954920454545455</v>
      </c>
      <c r="AO118" s="95">
        <f t="shared" si="72"/>
        <v>2.3036529541322319</v>
      </c>
      <c r="AP118" s="94">
        <f t="shared" si="90"/>
        <v>0.97747828706095041</v>
      </c>
      <c r="AQ118" s="230">
        <f t="shared" si="91"/>
        <v>3.9099131482438017</v>
      </c>
      <c r="AR118" s="230">
        <f t="shared" si="92"/>
        <v>2.2167935757072685</v>
      </c>
      <c r="AS118" s="92">
        <f t="shared" si="93"/>
        <v>3.6000000000000004E-2</v>
      </c>
      <c r="AT118" s="95">
        <f t="shared" si="94"/>
        <v>4.7519999999999999E-5</v>
      </c>
      <c r="AU118" s="94">
        <f t="shared" si="73"/>
        <v>24.432239515220996</v>
      </c>
      <c r="AV118" s="92">
        <f t="shared" si="74"/>
        <v>366.3</v>
      </c>
      <c r="AW118" s="95">
        <f t="shared" si="75"/>
        <v>93.747063322562298</v>
      </c>
    </row>
    <row r="119" spans="17:49" x14ac:dyDescent="0.25">
      <c r="Q119" s="32">
        <v>112</v>
      </c>
      <c r="R119" s="94">
        <f t="shared" si="49"/>
        <v>45</v>
      </c>
      <c r="S119" s="92">
        <f t="shared" si="79"/>
        <v>8.2133333333333329</v>
      </c>
      <c r="T119" s="92">
        <f t="shared" si="51"/>
        <v>14.4</v>
      </c>
      <c r="U119" s="95">
        <f t="shared" si="80"/>
        <v>25.666666666666664</v>
      </c>
      <c r="V119" s="94">
        <f>IF(Variable_Management!$B$23=3,2,IF((S119*R119/T119)&lt;((T119*(1-(T119/R119)))/(2*Lm*Fsw)),1,2))</f>
        <v>2</v>
      </c>
      <c r="W119" s="92">
        <f t="shared" si="81"/>
        <v>0.67999999999999994</v>
      </c>
      <c r="X119" s="95">
        <f t="shared" si="82"/>
        <v>0.32000000000000006</v>
      </c>
      <c r="Y119" s="94">
        <f t="shared" si="83"/>
        <v>7.4181818181818189</v>
      </c>
      <c r="Z119" s="92">
        <f t="shared" si="77"/>
        <v>29.375757575757575</v>
      </c>
      <c r="AA119" s="92">
        <f t="shared" si="78"/>
        <v>25.755845218158626</v>
      </c>
      <c r="AB119" s="92">
        <v>0</v>
      </c>
      <c r="AC119" s="92">
        <f t="shared" si="84"/>
        <v>3.9801813774104673</v>
      </c>
      <c r="AD119" s="95">
        <f t="shared" si="67"/>
        <v>3.9801813774104673</v>
      </c>
      <c r="AE119" s="94">
        <f t="shared" si="76"/>
        <v>17.45333333333333</v>
      </c>
      <c r="AF119" s="92">
        <f t="shared" si="68"/>
        <v>21.238814062305511</v>
      </c>
      <c r="AG119" s="92">
        <f t="shared" si="85"/>
        <v>3.1576105594123045</v>
      </c>
      <c r="AH119" s="92">
        <f t="shared" si="86"/>
        <v>8.0484375000000004</v>
      </c>
      <c r="AI119" s="95">
        <f t="shared" si="69"/>
        <v>11.206048059412305</v>
      </c>
      <c r="AJ119" s="94">
        <f t="shared" si="70"/>
        <v>8.2133333333333347</v>
      </c>
      <c r="AK119" s="92">
        <f t="shared" si="87"/>
        <v>14.569706247160864</v>
      </c>
      <c r="AL119" s="92">
        <f t="shared" si="88"/>
        <v>1.4859343808999081</v>
      </c>
      <c r="AM119" s="92">
        <f t="shared" si="95"/>
        <v>0.34846000000000005</v>
      </c>
      <c r="AN119" s="211">
        <f t="shared" si="89"/>
        <v>0.49938787878787883</v>
      </c>
      <c r="AO119" s="95">
        <f t="shared" si="72"/>
        <v>2.3337822596877871</v>
      </c>
      <c r="AP119" s="94">
        <f t="shared" si="90"/>
        <v>0.99504534435261682</v>
      </c>
      <c r="AQ119" s="230">
        <f t="shared" si="91"/>
        <v>3.9801813774104673</v>
      </c>
      <c r="AR119" s="230">
        <f t="shared" si="92"/>
        <v>2.2167935757072685</v>
      </c>
      <c r="AS119" s="92">
        <f t="shared" si="93"/>
        <v>3.6000000000000004E-2</v>
      </c>
      <c r="AT119" s="95">
        <f t="shared" si="94"/>
        <v>4.7519999999999999E-5</v>
      </c>
      <c r="AU119" s="94">
        <f t="shared" si="73"/>
        <v>24.748079513980912</v>
      </c>
      <c r="AV119" s="92">
        <f t="shared" si="74"/>
        <v>369.59999999999997</v>
      </c>
      <c r="AW119" s="95">
        <f t="shared" si="75"/>
        <v>93.724305810115254</v>
      </c>
    </row>
    <row r="120" spans="17:49" x14ac:dyDescent="0.25">
      <c r="Q120" s="32">
        <v>113</v>
      </c>
      <c r="R120" s="94">
        <f t="shared" si="49"/>
        <v>45</v>
      </c>
      <c r="S120" s="92">
        <f t="shared" si="79"/>
        <v>8.2866666666666671</v>
      </c>
      <c r="T120" s="92">
        <f t="shared" si="51"/>
        <v>14.4</v>
      </c>
      <c r="U120" s="95">
        <f t="shared" si="80"/>
        <v>25.895833333333336</v>
      </c>
      <c r="V120" s="94">
        <f>IF(Variable_Management!$B$23=3,2,IF((S120*R120/T120)&lt;((T120*(1-(T120/R120)))/(2*Lm*Fsw)),1,2))</f>
        <v>2</v>
      </c>
      <c r="W120" s="92">
        <f t="shared" si="81"/>
        <v>0.67999999999999994</v>
      </c>
      <c r="X120" s="95">
        <f t="shared" si="82"/>
        <v>0.32000000000000006</v>
      </c>
      <c r="Y120" s="94">
        <f t="shared" si="83"/>
        <v>7.4181818181818189</v>
      </c>
      <c r="Z120" s="92">
        <f t="shared" si="77"/>
        <v>29.604924242424246</v>
      </c>
      <c r="AA120" s="92">
        <f t="shared" si="78"/>
        <v>25.984225390643164</v>
      </c>
      <c r="AB120" s="92">
        <v>0</v>
      </c>
      <c r="AC120" s="92">
        <f t="shared" si="84"/>
        <v>4.0510798149104694</v>
      </c>
      <c r="AD120" s="95">
        <f t="shared" si="67"/>
        <v>4.0510798149104694</v>
      </c>
      <c r="AE120" s="94">
        <f t="shared" si="76"/>
        <v>17.609166666666667</v>
      </c>
      <c r="AF120" s="92">
        <f t="shared" si="68"/>
        <v>21.427141177095617</v>
      </c>
      <c r="AG120" s="92">
        <f t="shared" si="85"/>
        <v>3.2138566531623058</v>
      </c>
      <c r="AH120" s="92">
        <f t="shared" si="86"/>
        <v>8.120298549107142</v>
      </c>
      <c r="AI120" s="95">
        <f t="shared" si="69"/>
        <v>11.334155202269448</v>
      </c>
      <c r="AJ120" s="94">
        <f t="shared" si="70"/>
        <v>8.2866666666666688</v>
      </c>
      <c r="AK120" s="92">
        <f t="shared" si="87"/>
        <v>14.698897582082759</v>
      </c>
      <c r="AL120" s="92">
        <f t="shared" si="88"/>
        <v>1.5124031308999089</v>
      </c>
      <c r="AM120" s="92">
        <f t="shared" si="95"/>
        <v>0.34846000000000005</v>
      </c>
      <c r="AN120" s="211">
        <f t="shared" si="89"/>
        <v>0.50328371212121226</v>
      </c>
      <c r="AO120" s="95">
        <f t="shared" si="72"/>
        <v>2.3641468430211212</v>
      </c>
      <c r="AP120" s="94">
        <f t="shared" si="90"/>
        <v>1.0127699537276174</v>
      </c>
      <c r="AQ120" s="230">
        <f t="shared" si="91"/>
        <v>4.0510798149104694</v>
      </c>
      <c r="AR120" s="230">
        <f t="shared" si="92"/>
        <v>2.2167935757072685</v>
      </c>
      <c r="AS120" s="92">
        <f t="shared" si="93"/>
        <v>3.6000000000000004E-2</v>
      </c>
      <c r="AT120" s="95">
        <f t="shared" si="94"/>
        <v>4.7519999999999999E-5</v>
      </c>
      <c r="AU120" s="94">
        <f t="shared" si="73"/>
        <v>25.066072724546395</v>
      </c>
      <c r="AV120" s="92">
        <f t="shared" si="74"/>
        <v>372.90000000000003</v>
      </c>
      <c r="AW120" s="95">
        <f t="shared" si="75"/>
        <v>93.701454861983677</v>
      </c>
    </row>
    <row r="121" spans="17:49" x14ac:dyDescent="0.25">
      <c r="Q121" s="32">
        <v>114</v>
      </c>
      <c r="R121" s="94">
        <f t="shared" si="49"/>
        <v>45</v>
      </c>
      <c r="S121" s="92">
        <f t="shared" si="79"/>
        <v>8.36</v>
      </c>
      <c r="T121" s="92">
        <f t="shared" si="51"/>
        <v>14.4</v>
      </c>
      <c r="U121" s="95">
        <f t="shared" si="80"/>
        <v>26.125</v>
      </c>
      <c r="V121" s="94">
        <f>IF(Variable_Management!$B$23=3,2,IF((S121*R121/T121)&lt;((T121*(1-(T121/R121)))/(2*Lm*Fsw)),1,2))</f>
        <v>2</v>
      </c>
      <c r="W121" s="92">
        <f t="shared" si="81"/>
        <v>0.67999999999999994</v>
      </c>
      <c r="X121" s="95">
        <f t="shared" si="82"/>
        <v>0.32000000000000006</v>
      </c>
      <c r="Y121" s="94">
        <f t="shared" si="83"/>
        <v>7.4181818181818189</v>
      </c>
      <c r="Z121" s="92">
        <f t="shared" si="77"/>
        <v>29.834090909090911</v>
      </c>
      <c r="AA121" s="92">
        <f t="shared" si="78"/>
        <v>26.212619291554343</v>
      </c>
      <c r="AB121" s="92">
        <v>0</v>
      </c>
      <c r="AC121" s="92">
        <f t="shared" si="84"/>
        <v>4.1226084607438018</v>
      </c>
      <c r="AD121" s="95">
        <f t="shared" si="67"/>
        <v>4.1226084607438018</v>
      </c>
      <c r="AE121" s="94">
        <f t="shared" si="76"/>
        <v>17.764999999999997</v>
      </c>
      <c r="AF121" s="92">
        <f t="shared" si="68"/>
        <v>21.615479612636346</v>
      </c>
      <c r="AG121" s="92">
        <f t="shared" si="85"/>
        <v>3.2706027121900827</v>
      </c>
      <c r="AH121" s="92">
        <f t="shared" si="86"/>
        <v>8.1921595982142854</v>
      </c>
      <c r="AI121" s="95">
        <f t="shared" si="69"/>
        <v>11.462762310404369</v>
      </c>
      <c r="AJ121" s="94">
        <f t="shared" si="70"/>
        <v>8.3600000000000012</v>
      </c>
      <c r="AK121" s="92">
        <f t="shared" si="87"/>
        <v>14.828096682975517</v>
      </c>
      <c r="AL121" s="92">
        <f t="shared" si="88"/>
        <v>1.5391071586776865</v>
      </c>
      <c r="AM121" s="92">
        <f t="shared" si="95"/>
        <v>0.34846000000000005</v>
      </c>
      <c r="AN121" s="211">
        <f t="shared" si="89"/>
        <v>0.50717954545454547</v>
      </c>
      <c r="AO121" s="95">
        <f t="shared" si="72"/>
        <v>2.3947467041322321</v>
      </c>
      <c r="AP121" s="94">
        <f t="shared" si="90"/>
        <v>1.0306521151859505</v>
      </c>
      <c r="AQ121" s="230">
        <f t="shared" si="91"/>
        <v>4.1226084607438018</v>
      </c>
      <c r="AR121" s="230">
        <f t="shared" si="92"/>
        <v>2.2167935757072685</v>
      </c>
      <c r="AS121" s="92">
        <f t="shared" si="93"/>
        <v>3.6000000000000004E-2</v>
      </c>
      <c r="AT121" s="95">
        <f t="shared" si="94"/>
        <v>4.7519999999999999E-5</v>
      </c>
      <c r="AU121" s="94">
        <f t="shared" si="73"/>
        <v>25.386219146917423</v>
      </c>
      <c r="AV121" s="92">
        <f t="shared" si="74"/>
        <v>376.2</v>
      </c>
      <c r="AW121" s="95">
        <f t="shared" si="75"/>
        <v>93.678513371090048</v>
      </c>
    </row>
    <row r="122" spans="17:49" x14ac:dyDescent="0.25">
      <c r="Q122" s="32">
        <v>115</v>
      </c>
      <c r="R122" s="94">
        <f t="shared" si="49"/>
        <v>45</v>
      </c>
      <c r="S122" s="92">
        <f t="shared" si="79"/>
        <v>8.4333333333333336</v>
      </c>
      <c r="T122" s="92">
        <f t="shared" si="51"/>
        <v>14.4</v>
      </c>
      <c r="U122" s="95">
        <f t="shared" si="80"/>
        <v>26.354166666666664</v>
      </c>
      <c r="V122" s="94">
        <f>IF(Variable_Management!$B$23=3,2,IF((S122*R122/T122)&lt;((T122*(1-(T122/R122)))/(2*Lm*Fsw)),1,2))</f>
        <v>2</v>
      </c>
      <c r="W122" s="92">
        <f t="shared" si="81"/>
        <v>0.67999999999999994</v>
      </c>
      <c r="X122" s="95">
        <f t="shared" si="82"/>
        <v>0.32000000000000006</v>
      </c>
      <c r="Y122" s="94">
        <f t="shared" si="83"/>
        <v>7.4181818181818189</v>
      </c>
      <c r="Z122" s="92">
        <f t="shared" si="77"/>
        <v>30.063257575757575</v>
      </c>
      <c r="AA122" s="92">
        <f t="shared" si="78"/>
        <v>26.441026565139474</v>
      </c>
      <c r="AB122" s="92">
        <v>0</v>
      </c>
      <c r="AC122" s="92">
        <f t="shared" si="84"/>
        <v>4.1947673149104689</v>
      </c>
      <c r="AD122" s="95">
        <f t="shared" si="67"/>
        <v>4.1947673149104689</v>
      </c>
      <c r="AE122" s="94">
        <f t="shared" si="76"/>
        <v>17.920833333333331</v>
      </c>
      <c r="AF122" s="92">
        <f t="shared" si="68"/>
        <v>21.803829075566512</v>
      </c>
      <c r="AG122" s="92">
        <f t="shared" si="85"/>
        <v>3.3278487364956373</v>
      </c>
      <c r="AH122" s="92">
        <f t="shared" si="86"/>
        <v>8.2640206473214288</v>
      </c>
      <c r="AI122" s="95">
        <f t="shared" si="69"/>
        <v>11.591869383817066</v>
      </c>
      <c r="AJ122" s="94">
        <f t="shared" si="70"/>
        <v>8.4333333333333336</v>
      </c>
      <c r="AK122" s="92">
        <f t="shared" si="87"/>
        <v>14.957303348595016</v>
      </c>
      <c r="AL122" s="92">
        <f t="shared" si="88"/>
        <v>1.5660464642332417</v>
      </c>
      <c r="AM122" s="92">
        <f t="shared" si="95"/>
        <v>0.34846000000000005</v>
      </c>
      <c r="AN122" s="211">
        <f t="shared" si="89"/>
        <v>0.51107537878787879</v>
      </c>
      <c r="AO122" s="95">
        <f t="shared" si="72"/>
        <v>2.4255818430211207</v>
      </c>
      <c r="AP122" s="94">
        <f t="shared" si="90"/>
        <v>1.0486918287276172</v>
      </c>
      <c r="AQ122" s="230">
        <f t="shared" si="91"/>
        <v>4.1947673149104689</v>
      </c>
      <c r="AR122" s="230">
        <f t="shared" si="92"/>
        <v>2.2167935757072685</v>
      </c>
      <c r="AS122" s="92">
        <f t="shared" si="93"/>
        <v>3.6000000000000004E-2</v>
      </c>
      <c r="AT122" s="95">
        <f t="shared" si="94"/>
        <v>4.7519999999999999E-5</v>
      </c>
      <c r="AU122" s="94">
        <f t="shared" si="73"/>
        <v>25.708518781094007</v>
      </c>
      <c r="AV122" s="92">
        <f t="shared" si="74"/>
        <v>379.5</v>
      </c>
      <c r="AW122" s="95">
        <f t="shared" si="75"/>
        <v>93.655484129892514</v>
      </c>
    </row>
    <row r="123" spans="17:49" x14ac:dyDescent="0.25">
      <c r="Q123" s="32">
        <v>116</v>
      </c>
      <c r="R123" s="94">
        <f t="shared" si="49"/>
        <v>45</v>
      </c>
      <c r="S123" s="92">
        <f t="shared" si="79"/>
        <v>8.5066666666666659</v>
      </c>
      <c r="T123" s="92">
        <f t="shared" si="51"/>
        <v>14.4</v>
      </c>
      <c r="U123" s="95">
        <f t="shared" si="80"/>
        <v>26.583333333333329</v>
      </c>
      <c r="V123" s="94">
        <f>IF(Variable_Management!$B$23=3,2,IF((S123*R123/T123)&lt;((T123*(1-(T123/R123)))/(2*Lm*Fsw)),1,2))</f>
        <v>2</v>
      </c>
      <c r="W123" s="92">
        <f t="shared" si="81"/>
        <v>0.67999999999999994</v>
      </c>
      <c r="X123" s="95">
        <f t="shared" si="82"/>
        <v>0.32000000000000006</v>
      </c>
      <c r="Y123" s="94">
        <f t="shared" si="83"/>
        <v>7.4181818181818189</v>
      </c>
      <c r="Z123" s="92">
        <f t="shared" si="77"/>
        <v>30.292424242424239</v>
      </c>
      <c r="AA123" s="92">
        <f t="shared" si="78"/>
        <v>26.669446867812571</v>
      </c>
      <c r="AB123" s="92">
        <v>0</v>
      </c>
      <c r="AC123" s="92">
        <f t="shared" si="84"/>
        <v>4.2675563774104663</v>
      </c>
      <c r="AD123" s="95">
        <f t="shared" si="67"/>
        <v>4.2675563774104663</v>
      </c>
      <c r="AE123" s="94">
        <f t="shared" si="76"/>
        <v>18.076666666666661</v>
      </c>
      <c r="AF123" s="92">
        <f t="shared" si="68"/>
        <v>21.992189282557863</v>
      </c>
      <c r="AG123" s="92">
        <f t="shared" si="85"/>
        <v>3.3855947260789705</v>
      </c>
      <c r="AH123" s="92">
        <f t="shared" si="86"/>
        <v>8.3358816964285687</v>
      </c>
      <c r="AI123" s="95">
        <f t="shared" si="69"/>
        <v>11.721476422507539</v>
      </c>
      <c r="AJ123" s="94">
        <f t="shared" si="70"/>
        <v>8.5066666666666659</v>
      </c>
      <c r="AK123" s="92">
        <f t="shared" si="87"/>
        <v>15.086517384579681</v>
      </c>
      <c r="AL123" s="92">
        <f t="shared" si="88"/>
        <v>1.5932210475665745</v>
      </c>
      <c r="AM123" s="92">
        <f t="shared" si="95"/>
        <v>0.34846000000000005</v>
      </c>
      <c r="AN123" s="211">
        <f t="shared" si="89"/>
        <v>0.51497121212121211</v>
      </c>
      <c r="AO123" s="95">
        <f t="shared" si="72"/>
        <v>2.4566522596877864</v>
      </c>
      <c r="AP123" s="94">
        <f t="shared" si="90"/>
        <v>1.0668890943526166</v>
      </c>
      <c r="AQ123" s="230">
        <f t="shared" si="91"/>
        <v>4.2675563774104663</v>
      </c>
      <c r="AR123" s="230">
        <f t="shared" si="92"/>
        <v>2.2167935757072685</v>
      </c>
      <c r="AS123" s="92">
        <f t="shared" si="93"/>
        <v>3.6000000000000004E-2</v>
      </c>
      <c r="AT123" s="95">
        <f t="shared" si="94"/>
        <v>4.7519999999999999E-5</v>
      </c>
      <c r="AU123" s="94">
        <f t="shared" si="73"/>
        <v>26.032971627076147</v>
      </c>
      <c r="AV123" s="92">
        <f t="shared" si="74"/>
        <v>382.79999999999995</v>
      </c>
      <c r="AW123" s="95">
        <f t="shared" si="75"/>
        <v>93.63236983468579</v>
      </c>
    </row>
    <row r="124" spans="17:49" x14ac:dyDescent="0.25">
      <c r="Q124" s="32">
        <v>117</v>
      </c>
      <c r="R124" s="94">
        <f t="shared" si="49"/>
        <v>45</v>
      </c>
      <c r="S124" s="92">
        <f t="shared" si="79"/>
        <v>8.58</v>
      </c>
      <c r="T124" s="92">
        <f t="shared" si="51"/>
        <v>14.4</v>
      </c>
      <c r="U124" s="95">
        <f t="shared" si="80"/>
        <v>26.8125</v>
      </c>
      <c r="V124" s="94">
        <f>IF(Variable_Management!$B$23=3,2,IF((S124*R124/T124)&lt;((T124*(1-(T124/R124)))/(2*Lm*Fsw)),1,2))</f>
        <v>2</v>
      </c>
      <c r="W124" s="92">
        <f t="shared" si="81"/>
        <v>0.67999999999999994</v>
      </c>
      <c r="X124" s="95">
        <f t="shared" si="82"/>
        <v>0.32000000000000006</v>
      </c>
      <c r="Y124" s="94">
        <f t="shared" si="83"/>
        <v>7.4181818181818189</v>
      </c>
      <c r="Z124" s="92">
        <f t="shared" si="77"/>
        <v>30.521590909090911</v>
      </c>
      <c r="AA124" s="92">
        <f t="shared" si="78"/>
        <v>26.89787986763951</v>
      </c>
      <c r="AB124" s="92">
        <v>0</v>
      </c>
      <c r="AC124" s="92">
        <f t="shared" si="84"/>
        <v>4.3409756482438011</v>
      </c>
      <c r="AD124" s="95">
        <f t="shared" si="67"/>
        <v>4.3409756482438011</v>
      </c>
      <c r="AE124" s="94">
        <f t="shared" si="76"/>
        <v>18.232499999999998</v>
      </c>
      <c r="AF124" s="92">
        <f t="shared" si="68"/>
        <v>22.180559959890495</v>
      </c>
      <c r="AG124" s="92">
        <f t="shared" si="85"/>
        <v>3.4438406809400819</v>
      </c>
      <c r="AH124" s="92">
        <f t="shared" si="86"/>
        <v>8.4077427455357139</v>
      </c>
      <c r="AI124" s="95">
        <f t="shared" si="69"/>
        <v>11.851583426475795</v>
      </c>
      <c r="AJ124" s="94">
        <f t="shared" si="70"/>
        <v>8.5800000000000018</v>
      </c>
      <c r="AK124" s="92">
        <f t="shared" si="87"/>
        <v>15.215738603159213</v>
      </c>
      <c r="AL124" s="92">
        <f t="shared" si="88"/>
        <v>1.6206309086776864</v>
      </c>
      <c r="AM124" s="92">
        <f t="shared" si="95"/>
        <v>0.34846000000000005</v>
      </c>
      <c r="AN124" s="211">
        <f t="shared" si="89"/>
        <v>0.51886704545454554</v>
      </c>
      <c r="AO124" s="95">
        <f t="shared" si="72"/>
        <v>2.4879579541322321</v>
      </c>
      <c r="AP124" s="94">
        <f t="shared" si="90"/>
        <v>1.0852439120609503</v>
      </c>
      <c r="AQ124" s="230">
        <f t="shared" si="91"/>
        <v>4.3409756482438011</v>
      </c>
      <c r="AR124" s="230">
        <f t="shared" si="92"/>
        <v>2.2167935757072685</v>
      </c>
      <c r="AS124" s="92">
        <f t="shared" si="93"/>
        <v>3.6000000000000004E-2</v>
      </c>
      <c r="AT124" s="95">
        <f t="shared" si="94"/>
        <v>4.7519999999999999E-5</v>
      </c>
      <c r="AU124" s="94">
        <f t="shared" si="73"/>
        <v>26.359577684863847</v>
      </c>
      <c r="AV124" s="92">
        <f t="shared" si="74"/>
        <v>386.1</v>
      </c>
      <c r="AW124" s="95">
        <f t="shared" si="75"/>
        <v>93.609173089683068</v>
      </c>
    </row>
    <row r="125" spans="17:49" x14ac:dyDescent="0.25">
      <c r="Q125" s="32">
        <v>118</v>
      </c>
      <c r="R125" s="94">
        <f t="shared" si="49"/>
        <v>45</v>
      </c>
      <c r="S125" s="92">
        <f t="shared" si="79"/>
        <v>8.6533333333333342</v>
      </c>
      <c r="T125" s="92">
        <f t="shared" si="51"/>
        <v>14.4</v>
      </c>
      <c r="U125" s="95">
        <f t="shared" si="80"/>
        <v>27.041666666666668</v>
      </c>
      <c r="V125" s="94">
        <f>IF(Variable_Management!$B$23=3,2,IF((S125*R125/T125)&lt;((T125*(1-(T125/R125)))/(2*Lm*Fsw)),1,2))</f>
        <v>2</v>
      </c>
      <c r="W125" s="92">
        <f t="shared" si="81"/>
        <v>0.67999999999999994</v>
      </c>
      <c r="X125" s="95">
        <f t="shared" si="82"/>
        <v>0.32000000000000006</v>
      </c>
      <c r="Y125" s="94">
        <f t="shared" si="83"/>
        <v>7.4181818181818189</v>
      </c>
      <c r="Z125" s="92">
        <f t="shared" si="77"/>
        <v>30.750757575757579</v>
      </c>
      <c r="AA125" s="92">
        <f t="shared" si="78"/>
        <v>27.126325243848974</v>
      </c>
      <c r="AB125" s="92">
        <v>0</v>
      </c>
      <c r="AC125" s="92">
        <f t="shared" si="84"/>
        <v>4.4150251274104688</v>
      </c>
      <c r="AD125" s="95">
        <f t="shared" si="67"/>
        <v>4.4150251274104688</v>
      </c>
      <c r="AE125" s="94">
        <f t="shared" si="76"/>
        <v>18.388333333333332</v>
      </c>
      <c r="AF125" s="92">
        <f t="shared" si="68"/>
        <v>22.368940843049611</v>
      </c>
      <c r="AG125" s="92">
        <f t="shared" si="85"/>
        <v>3.5025866010789715</v>
      </c>
      <c r="AH125" s="92">
        <f t="shared" si="86"/>
        <v>8.4796037946428573</v>
      </c>
      <c r="AI125" s="95">
        <f t="shared" si="69"/>
        <v>11.98219039572183</v>
      </c>
      <c r="AJ125" s="94">
        <f t="shared" si="70"/>
        <v>8.653333333333336</v>
      </c>
      <c r="AK125" s="92">
        <f t="shared" si="87"/>
        <v>15.344966822877952</v>
      </c>
      <c r="AL125" s="92">
        <f t="shared" si="88"/>
        <v>1.6482760475665754</v>
      </c>
      <c r="AM125" s="92">
        <f t="shared" si="95"/>
        <v>0.34846000000000005</v>
      </c>
      <c r="AN125" s="211">
        <f t="shared" si="89"/>
        <v>0.52276287878787886</v>
      </c>
      <c r="AO125" s="95">
        <f t="shared" si="72"/>
        <v>2.519498926354454</v>
      </c>
      <c r="AP125" s="94">
        <f t="shared" si="90"/>
        <v>1.1037562818526172</v>
      </c>
      <c r="AQ125" s="230">
        <f t="shared" si="91"/>
        <v>4.4150251274104688</v>
      </c>
      <c r="AR125" s="230">
        <f t="shared" si="92"/>
        <v>2.2167935757072685</v>
      </c>
      <c r="AS125" s="92">
        <f t="shared" si="93"/>
        <v>3.6000000000000004E-2</v>
      </c>
      <c r="AT125" s="95">
        <f t="shared" si="94"/>
        <v>4.7519999999999999E-5</v>
      </c>
      <c r="AU125" s="94">
        <f t="shared" si="73"/>
        <v>26.688336954457107</v>
      </c>
      <c r="AV125" s="92">
        <f t="shared" si="74"/>
        <v>389.40000000000003</v>
      </c>
      <c r="AW125" s="95">
        <f t="shared" si="75"/>
        <v>93.58589641089165</v>
      </c>
    </row>
    <row r="126" spans="17:49" x14ac:dyDescent="0.25">
      <c r="Q126" s="32">
        <v>119</v>
      </c>
      <c r="R126" s="94">
        <f t="shared" si="49"/>
        <v>45</v>
      </c>
      <c r="S126" s="92">
        <f t="shared" si="79"/>
        <v>8.7266666666666666</v>
      </c>
      <c r="T126" s="92">
        <f t="shared" si="51"/>
        <v>14.4</v>
      </c>
      <c r="U126" s="95">
        <f t="shared" si="80"/>
        <v>27.270833333333332</v>
      </c>
      <c r="V126" s="94">
        <f>IF(Variable_Management!$B$23=3,2,IF((S126*R126/T126)&lt;((T126*(1-(T126/R126)))/(2*Lm*Fsw)),1,2))</f>
        <v>2</v>
      </c>
      <c r="W126" s="92">
        <f t="shared" si="81"/>
        <v>0.67999999999999994</v>
      </c>
      <c r="X126" s="95">
        <f t="shared" si="82"/>
        <v>0.32000000000000006</v>
      </c>
      <c r="Y126" s="94">
        <f t="shared" si="83"/>
        <v>7.4181818181818189</v>
      </c>
      <c r="Z126" s="92">
        <f t="shared" si="77"/>
        <v>30.979924242424243</v>
      </c>
      <c r="AA126" s="92">
        <f t="shared" si="78"/>
        <v>27.354782686367869</v>
      </c>
      <c r="AB126" s="92">
        <v>0</v>
      </c>
      <c r="AC126" s="92">
        <f t="shared" si="84"/>
        <v>4.4897048149104677</v>
      </c>
      <c r="AD126" s="95">
        <f t="shared" si="67"/>
        <v>4.4897048149104677</v>
      </c>
      <c r="AE126" s="94">
        <f t="shared" si="76"/>
        <v>18.544166666666666</v>
      </c>
      <c r="AF126" s="92">
        <f t="shared" si="68"/>
        <v>22.55733167634239</v>
      </c>
      <c r="AG126" s="92">
        <f t="shared" si="85"/>
        <v>3.5618324864956383</v>
      </c>
      <c r="AH126" s="92">
        <f t="shared" si="86"/>
        <v>8.5514648437500007</v>
      </c>
      <c r="AI126" s="95">
        <f t="shared" si="69"/>
        <v>12.11329733024564</v>
      </c>
      <c r="AJ126" s="94">
        <f t="shared" si="70"/>
        <v>8.7266666666666683</v>
      </c>
      <c r="AK126" s="92">
        <f t="shared" si="87"/>
        <v>15.47420186833207</v>
      </c>
      <c r="AL126" s="92">
        <f t="shared" si="88"/>
        <v>1.6761564642332423</v>
      </c>
      <c r="AM126" s="92">
        <f t="shared" si="95"/>
        <v>0.34846000000000005</v>
      </c>
      <c r="AN126" s="211">
        <f t="shared" si="89"/>
        <v>0.52665871212121218</v>
      </c>
      <c r="AO126" s="95">
        <f t="shared" si="72"/>
        <v>2.5512751763544546</v>
      </c>
      <c r="AP126" s="94">
        <f t="shared" si="90"/>
        <v>1.1224262037276169</v>
      </c>
      <c r="AQ126" s="230">
        <f t="shared" si="91"/>
        <v>4.4897048149104677</v>
      </c>
      <c r="AR126" s="230">
        <f t="shared" si="92"/>
        <v>2.2167935757072685</v>
      </c>
      <c r="AS126" s="92">
        <f t="shared" si="93"/>
        <v>3.6000000000000004E-2</v>
      </c>
      <c r="AT126" s="95">
        <f t="shared" si="94"/>
        <v>4.7519999999999999E-5</v>
      </c>
      <c r="AU126" s="94">
        <f t="shared" si="73"/>
        <v>27.019249435855915</v>
      </c>
      <c r="AV126" s="92">
        <f t="shared" si="74"/>
        <v>392.7</v>
      </c>
      <c r="AW126" s="95">
        <f t="shared" si="75"/>
        <v>93.562542229794701</v>
      </c>
    </row>
    <row r="127" spans="17:49" x14ac:dyDescent="0.25">
      <c r="Q127" s="32">
        <v>120</v>
      </c>
      <c r="R127" s="94">
        <f t="shared" si="49"/>
        <v>45</v>
      </c>
      <c r="S127" s="92">
        <f t="shared" si="79"/>
        <v>8.8000000000000007</v>
      </c>
      <c r="T127" s="92">
        <f t="shared" si="51"/>
        <v>14.4</v>
      </c>
      <c r="U127" s="95">
        <f t="shared" si="80"/>
        <v>27.500000000000004</v>
      </c>
      <c r="V127" s="94">
        <f>IF(Variable_Management!$B$23=3,2,IF((S127*R127/T127)&lt;((T127*(1-(T127/R127)))/(2*Lm*Fsw)),1,2))</f>
        <v>2</v>
      </c>
      <c r="W127" s="92">
        <f t="shared" si="81"/>
        <v>0.67999999999999994</v>
      </c>
      <c r="X127" s="95">
        <f t="shared" si="82"/>
        <v>0.32000000000000006</v>
      </c>
      <c r="Y127" s="94">
        <f t="shared" si="83"/>
        <v>7.4181818181818189</v>
      </c>
      <c r="Z127" s="92">
        <f t="shared" si="77"/>
        <v>31.209090909090914</v>
      </c>
      <c r="AA127" s="92">
        <f t="shared" si="78"/>
        <v>27.583251895379689</v>
      </c>
      <c r="AB127" s="92">
        <v>0</v>
      </c>
      <c r="AC127" s="92">
        <f t="shared" si="84"/>
        <v>4.5650147107438031</v>
      </c>
      <c r="AD127" s="95">
        <f t="shared" si="67"/>
        <v>4.5650147107438031</v>
      </c>
      <c r="AE127" s="94">
        <f t="shared" si="76"/>
        <v>18.7</v>
      </c>
      <c r="AF127" s="92">
        <f t="shared" si="68"/>
        <v>22.745732212533795</v>
      </c>
      <c r="AG127" s="92">
        <f t="shared" si="85"/>
        <v>3.6215783371900825</v>
      </c>
      <c r="AH127" s="92">
        <f t="shared" si="86"/>
        <v>8.6233258928571441</v>
      </c>
      <c r="AI127" s="95">
        <f t="shared" si="69"/>
        <v>12.244904230047226</v>
      </c>
      <c r="AJ127" s="94">
        <f t="shared" si="70"/>
        <v>8.8000000000000025</v>
      </c>
      <c r="AK127" s="92">
        <f t="shared" si="87"/>
        <v>15.603443569919735</v>
      </c>
      <c r="AL127" s="92">
        <f t="shared" si="88"/>
        <v>1.7042721586776866</v>
      </c>
      <c r="AM127" s="92">
        <f t="shared" si="95"/>
        <v>0.34846000000000005</v>
      </c>
      <c r="AN127" s="211">
        <f t="shared" si="89"/>
        <v>0.53055454545454561</v>
      </c>
      <c r="AO127" s="95">
        <f t="shared" si="72"/>
        <v>2.5832867041322323</v>
      </c>
      <c r="AP127" s="94">
        <f t="shared" si="90"/>
        <v>1.1412536776859508</v>
      </c>
      <c r="AQ127" s="230">
        <f t="shared" si="91"/>
        <v>4.5650147107438031</v>
      </c>
      <c r="AR127" s="230">
        <f t="shared" si="92"/>
        <v>2.2167935757072685</v>
      </c>
      <c r="AS127" s="92">
        <f t="shared" si="93"/>
        <v>3.6000000000000004E-2</v>
      </c>
      <c r="AT127" s="95">
        <f t="shared" si="94"/>
        <v>4.7519999999999999E-5</v>
      </c>
      <c r="AU127" s="94">
        <f t="shared" si="73"/>
        <v>27.352315129060283</v>
      </c>
      <c r="AV127" s="92">
        <f t="shared" si="74"/>
        <v>396.00000000000006</v>
      </c>
      <c r="AW127" s="95">
        <f t="shared" si="75"/>
        <v>93.539112896850028</v>
      </c>
    </row>
    <row r="128" spans="17:49" x14ac:dyDescent="0.25">
      <c r="Q128" s="32">
        <v>121</v>
      </c>
      <c r="R128" s="94">
        <f t="shared" si="49"/>
        <v>45</v>
      </c>
      <c r="S128" s="92">
        <f t="shared" si="79"/>
        <v>8.8733333333333331</v>
      </c>
      <c r="T128" s="92">
        <f t="shared" si="51"/>
        <v>14.4</v>
      </c>
      <c r="U128" s="95">
        <f t="shared" si="80"/>
        <v>27.729166666666668</v>
      </c>
      <c r="V128" s="94">
        <f>IF(Variable_Management!$B$23=3,2,IF((S128*R128/T128)&lt;((T128*(1-(T128/R128)))/(2*Lm*Fsw)),1,2))</f>
        <v>2</v>
      </c>
      <c r="W128" s="92">
        <f t="shared" si="81"/>
        <v>0.67999999999999994</v>
      </c>
      <c r="X128" s="95">
        <f t="shared" si="82"/>
        <v>0.32000000000000006</v>
      </c>
      <c r="Y128" s="94">
        <f t="shared" si="83"/>
        <v>7.4181818181818189</v>
      </c>
      <c r="Z128" s="92">
        <f t="shared" si="77"/>
        <v>31.438257575757579</v>
      </c>
      <c r="AA128" s="92">
        <f t="shared" si="78"/>
        <v>27.811732580904497</v>
      </c>
      <c r="AB128" s="92">
        <v>0</v>
      </c>
      <c r="AC128" s="92">
        <f t="shared" si="84"/>
        <v>4.6409548149104678</v>
      </c>
      <c r="AD128" s="95">
        <f t="shared" si="67"/>
        <v>4.6409548149104678</v>
      </c>
      <c r="AE128" s="94">
        <f t="shared" si="76"/>
        <v>18.855833333333333</v>
      </c>
      <c r="AF128" s="92">
        <f t="shared" si="68"/>
        <v>22.934142212500262</v>
      </c>
      <c r="AG128" s="92">
        <f t="shared" si="85"/>
        <v>3.6818241531623048</v>
      </c>
      <c r="AH128" s="92">
        <f t="shared" si="86"/>
        <v>8.6951869419642858</v>
      </c>
      <c r="AI128" s="95">
        <f t="shared" si="69"/>
        <v>12.377011095126591</v>
      </c>
      <c r="AJ128" s="94">
        <f t="shared" si="70"/>
        <v>8.8733333333333348</v>
      </c>
      <c r="AK128" s="92">
        <f t="shared" si="87"/>
        <v>15.73269176360353</v>
      </c>
      <c r="AL128" s="92">
        <f t="shared" si="88"/>
        <v>1.7326231308999085</v>
      </c>
      <c r="AM128" s="92">
        <f t="shared" si="95"/>
        <v>0.34846000000000005</v>
      </c>
      <c r="AN128" s="211">
        <f t="shared" si="89"/>
        <v>0.53445037878787882</v>
      </c>
      <c r="AO128" s="95">
        <f t="shared" si="72"/>
        <v>2.6155335096877876</v>
      </c>
      <c r="AP128" s="94">
        <f t="shared" si="90"/>
        <v>1.1602387037276169</v>
      </c>
      <c r="AQ128" s="230">
        <f t="shared" si="91"/>
        <v>4.6409548149104678</v>
      </c>
      <c r="AR128" s="230">
        <f t="shared" si="92"/>
        <v>2.2167935757072685</v>
      </c>
      <c r="AS128" s="92">
        <f t="shared" si="93"/>
        <v>3.6000000000000004E-2</v>
      </c>
      <c r="AT128" s="95">
        <f t="shared" si="94"/>
        <v>4.7519999999999999E-5</v>
      </c>
      <c r="AU128" s="94">
        <f t="shared" si="73"/>
        <v>27.6875340340702</v>
      </c>
      <c r="AV128" s="92">
        <f t="shared" si="74"/>
        <v>399.3</v>
      </c>
      <c r="AW128" s="95">
        <f t="shared" si="75"/>
        <v>93.515610684816636</v>
      </c>
    </row>
    <row r="129" spans="17:49" x14ac:dyDescent="0.25">
      <c r="Q129" s="32">
        <v>122</v>
      </c>
      <c r="R129" s="94">
        <f t="shared" si="49"/>
        <v>45</v>
      </c>
      <c r="S129" s="92">
        <f t="shared" si="79"/>
        <v>8.9466666666666672</v>
      </c>
      <c r="T129" s="92">
        <f t="shared" si="51"/>
        <v>14.4</v>
      </c>
      <c r="U129" s="95">
        <f t="shared" si="80"/>
        <v>27.958333333333336</v>
      </c>
      <c r="V129" s="94">
        <f>IF(Variable_Management!$B$23=3,2,IF((S129*R129/T129)&lt;((T129*(1-(T129/R129)))/(2*Lm*Fsw)),1,2))</f>
        <v>2</v>
      </c>
      <c r="W129" s="92">
        <f t="shared" si="81"/>
        <v>0.67999999999999994</v>
      </c>
      <c r="X129" s="95">
        <f t="shared" si="82"/>
        <v>0.32000000000000006</v>
      </c>
      <c r="Y129" s="94">
        <f t="shared" si="83"/>
        <v>7.4181818181818189</v>
      </c>
      <c r="Z129" s="92">
        <f t="shared" si="77"/>
        <v>31.667424242424246</v>
      </c>
      <c r="AA129" s="92">
        <f t="shared" si="78"/>
        <v>28.040224462399458</v>
      </c>
      <c r="AB129" s="92">
        <v>0</v>
      </c>
      <c r="AC129" s="92">
        <f t="shared" si="84"/>
        <v>4.7175251274104699</v>
      </c>
      <c r="AD129" s="95">
        <f t="shared" si="67"/>
        <v>4.7175251274104699</v>
      </c>
      <c r="AE129" s="94">
        <f t="shared" si="76"/>
        <v>19.011666666666667</v>
      </c>
      <c r="AF129" s="92">
        <f t="shared" si="68"/>
        <v>23.122561444900228</v>
      </c>
      <c r="AG129" s="92">
        <f t="shared" si="85"/>
        <v>3.7425699344123058</v>
      </c>
      <c r="AH129" s="92">
        <f t="shared" si="86"/>
        <v>8.7670479910714292</v>
      </c>
      <c r="AI129" s="95">
        <f t="shared" si="69"/>
        <v>12.509617925483735</v>
      </c>
      <c r="AJ129" s="94">
        <f t="shared" si="70"/>
        <v>8.946666666666669</v>
      </c>
      <c r="AK129" s="92">
        <f t="shared" si="87"/>
        <v>15.861946290684459</v>
      </c>
      <c r="AL129" s="92">
        <f t="shared" si="88"/>
        <v>1.7612093808999094</v>
      </c>
      <c r="AM129" s="92">
        <f t="shared" si="95"/>
        <v>0.34846000000000005</v>
      </c>
      <c r="AN129" s="211">
        <f t="shared" si="89"/>
        <v>0.53834621212121225</v>
      </c>
      <c r="AO129" s="95">
        <f t="shared" si="72"/>
        <v>2.648015593021122</v>
      </c>
      <c r="AP129" s="94">
        <f t="shared" si="90"/>
        <v>1.1793812818526175</v>
      </c>
      <c r="AQ129" s="230">
        <f t="shared" si="91"/>
        <v>4.7175251274104699</v>
      </c>
      <c r="AR129" s="230">
        <f t="shared" si="92"/>
        <v>2.2167935757072685</v>
      </c>
      <c r="AS129" s="92">
        <f t="shared" si="93"/>
        <v>3.6000000000000004E-2</v>
      </c>
      <c r="AT129" s="95">
        <f t="shared" si="94"/>
        <v>4.7519999999999999E-5</v>
      </c>
      <c r="AU129" s="94">
        <f t="shared" si="73"/>
        <v>28.02490615088568</v>
      </c>
      <c r="AV129" s="92">
        <f t="shared" si="74"/>
        <v>402.6</v>
      </c>
      <c r="AW129" s="95">
        <f t="shared" si="75"/>
        <v>93.492037791918591</v>
      </c>
    </row>
    <row r="130" spans="17:49" x14ac:dyDescent="0.25">
      <c r="Q130" s="32">
        <v>123</v>
      </c>
      <c r="R130" s="94">
        <f t="shared" si="49"/>
        <v>45</v>
      </c>
      <c r="S130" s="92">
        <f t="shared" si="79"/>
        <v>9.02</v>
      </c>
      <c r="T130" s="92">
        <f t="shared" si="51"/>
        <v>14.4</v>
      </c>
      <c r="U130" s="95">
        <f t="shared" si="80"/>
        <v>28.187499999999996</v>
      </c>
      <c r="V130" s="94">
        <f>IF(Variable_Management!$B$23=3,2,IF((S130*R130/T130)&lt;((T130*(1-(T130/R130)))/(2*Lm*Fsw)),1,2))</f>
        <v>2</v>
      </c>
      <c r="W130" s="92">
        <f t="shared" si="81"/>
        <v>0.67999999999999994</v>
      </c>
      <c r="X130" s="95">
        <f t="shared" si="82"/>
        <v>0.32000000000000006</v>
      </c>
      <c r="Y130" s="94">
        <f t="shared" si="83"/>
        <v>7.4181818181818189</v>
      </c>
      <c r="Z130" s="92">
        <f t="shared" si="77"/>
        <v>31.896590909090907</v>
      </c>
      <c r="AA130" s="92">
        <f t="shared" si="78"/>
        <v>28.268727268378509</v>
      </c>
      <c r="AB130" s="92">
        <v>0</v>
      </c>
      <c r="AC130" s="92">
        <f t="shared" si="84"/>
        <v>4.7947256482438005</v>
      </c>
      <c r="AD130" s="95">
        <f t="shared" si="67"/>
        <v>4.7947256482438005</v>
      </c>
      <c r="AE130" s="94">
        <f t="shared" si="76"/>
        <v>19.167499999999997</v>
      </c>
      <c r="AF130" s="92">
        <f t="shared" si="68"/>
        <v>23.310989685860559</v>
      </c>
      <c r="AG130" s="92">
        <f t="shared" si="85"/>
        <v>3.8038156809400814</v>
      </c>
      <c r="AH130" s="92">
        <f t="shared" si="86"/>
        <v>8.838909040178569</v>
      </c>
      <c r="AI130" s="95">
        <f t="shared" si="69"/>
        <v>12.64272472111865</v>
      </c>
      <c r="AJ130" s="94">
        <f t="shared" si="70"/>
        <v>9.0200000000000014</v>
      </c>
      <c r="AK130" s="92">
        <f t="shared" si="87"/>
        <v>15.991206997586811</v>
      </c>
      <c r="AL130" s="92">
        <f t="shared" si="88"/>
        <v>1.7900309086776858</v>
      </c>
      <c r="AM130" s="92">
        <f t="shared" si="95"/>
        <v>0.34846000000000005</v>
      </c>
      <c r="AN130" s="211">
        <f t="shared" si="89"/>
        <v>0.54224204545454546</v>
      </c>
      <c r="AO130" s="95">
        <f t="shared" si="72"/>
        <v>2.6807329541322313</v>
      </c>
      <c r="AP130" s="94">
        <f t="shared" si="90"/>
        <v>1.1986814120609501</v>
      </c>
      <c r="AQ130" s="230">
        <f t="shared" si="91"/>
        <v>4.7947256482438005</v>
      </c>
      <c r="AR130" s="230">
        <f t="shared" si="92"/>
        <v>2.2167935757072685</v>
      </c>
      <c r="AS130" s="92">
        <f t="shared" si="93"/>
        <v>3.6000000000000004E-2</v>
      </c>
      <c r="AT130" s="95">
        <f t="shared" si="94"/>
        <v>4.7519999999999999E-5</v>
      </c>
      <c r="AU130" s="94">
        <f t="shared" si="73"/>
        <v>28.364431479506703</v>
      </c>
      <c r="AV130" s="92">
        <f t="shared" si="74"/>
        <v>405.9</v>
      </c>
      <c r="AW130" s="95">
        <f t="shared" si="75"/>
        <v>93.46839634485579</v>
      </c>
    </row>
    <row r="131" spans="17:49" x14ac:dyDescent="0.25">
      <c r="Q131" s="32">
        <v>124</v>
      </c>
      <c r="R131" s="94">
        <f t="shared" si="49"/>
        <v>45</v>
      </c>
      <c r="S131" s="92">
        <f t="shared" si="79"/>
        <v>9.0933333333333337</v>
      </c>
      <c r="T131" s="92">
        <f t="shared" si="51"/>
        <v>14.4</v>
      </c>
      <c r="U131" s="95">
        <f t="shared" si="80"/>
        <v>28.416666666666668</v>
      </c>
      <c r="V131" s="94">
        <f>IF(Variable_Management!$B$23=3,2,IF((S131*R131/T131)&lt;((T131*(1-(T131/R131)))/(2*Lm*Fsw)),1,2))</f>
        <v>2</v>
      </c>
      <c r="W131" s="92">
        <f t="shared" si="81"/>
        <v>0.67999999999999994</v>
      </c>
      <c r="X131" s="95">
        <f t="shared" si="82"/>
        <v>0.32000000000000006</v>
      </c>
      <c r="Y131" s="94">
        <f t="shared" si="83"/>
        <v>7.4181818181818189</v>
      </c>
      <c r="Z131" s="92">
        <f t="shared" si="77"/>
        <v>32.125757575757575</v>
      </c>
      <c r="AA131" s="92">
        <f t="shared" si="78"/>
        <v>28.497240736050419</v>
      </c>
      <c r="AB131" s="92">
        <v>0</v>
      </c>
      <c r="AC131" s="92">
        <f t="shared" si="84"/>
        <v>4.8725563774104685</v>
      </c>
      <c r="AD131" s="95">
        <f t="shared" si="67"/>
        <v>4.8725563774104685</v>
      </c>
      <c r="AE131" s="94">
        <f t="shared" si="76"/>
        <v>19.323333333333334</v>
      </c>
      <c r="AF131" s="92">
        <f t="shared" si="68"/>
        <v>23.499426718678048</v>
      </c>
      <c r="AG131" s="92">
        <f t="shared" si="85"/>
        <v>3.8655613927456383</v>
      </c>
      <c r="AH131" s="92">
        <f t="shared" si="86"/>
        <v>8.9107700892857142</v>
      </c>
      <c r="AI131" s="95">
        <f t="shared" si="69"/>
        <v>12.776331482031352</v>
      </c>
      <c r="AJ131" s="94">
        <f t="shared" si="70"/>
        <v>9.0933333333333355</v>
      </c>
      <c r="AK131" s="92">
        <f t="shared" si="87"/>
        <v>16.12047373565342</v>
      </c>
      <c r="AL131" s="92">
        <f t="shared" si="88"/>
        <v>1.8190877142332418</v>
      </c>
      <c r="AM131" s="92">
        <f t="shared" si="95"/>
        <v>0.34846000000000005</v>
      </c>
      <c r="AN131" s="211">
        <f t="shared" si="89"/>
        <v>0.54613787878787878</v>
      </c>
      <c r="AO131" s="95">
        <f t="shared" si="72"/>
        <v>2.7136855930211206</v>
      </c>
      <c r="AP131" s="94">
        <f t="shared" si="90"/>
        <v>1.2181390943526171</v>
      </c>
      <c r="AQ131" s="230">
        <f t="shared" si="91"/>
        <v>4.8725563774104685</v>
      </c>
      <c r="AR131" s="230">
        <f t="shared" si="92"/>
        <v>2.2167935757072685</v>
      </c>
      <c r="AS131" s="92">
        <f t="shared" si="93"/>
        <v>3.6000000000000004E-2</v>
      </c>
      <c r="AT131" s="95">
        <f t="shared" si="94"/>
        <v>4.7519999999999999E-5</v>
      </c>
      <c r="AU131" s="94">
        <f t="shared" si="73"/>
        <v>28.706110019933295</v>
      </c>
      <c r="AV131" s="92">
        <f t="shared" si="74"/>
        <v>409.20000000000005</v>
      </c>
      <c r="AW131" s="95">
        <f t="shared" si="75"/>
        <v>93.444688401669794</v>
      </c>
    </row>
    <row r="132" spans="17:49" x14ac:dyDescent="0.25">
      <c r="Q132" s="32">
        <v>125</v>
      </c>
      <c r="R132" s="94">
        <f t="shared" si="49"/>
        <v>45</v>
      </c>
      <c r="S132" s="92">
        <f t="shared" si="79"/>
        <v>9.1666666666666661</v>
      </c>
      <c r="T132" s="92">
        <f t="shared" si="51"/>
        <v>14.4</v>
      </c>
      <c r="U132" s="95">
        <f t="shared" si="80"/>
        <v>28.645833333333332</v>
      </c>
      <c r="V132" s="94">
        <f>IF(Variable_Management!$B$23=3,2,IF((S132*R132/T132)&lt;((T132*(1-(T132/R132)))/(2*Lm*Fsw)),1,2))</f>
        <v>2</v>
      </c>
      <c r="W132" s="92">
        <f t="shared" si="81"/>
        <v>0.67999999999999994</v>
      </c>
      <c r="X132" s="95">
        <f t="shared" si="82"/>
        <v>0.32000000000000006</v>
      </c>
      <c r="Y132" s="94">
        <f t="shared" si="83"/>
        <v>7.4181818181818189</v>
      </c>
      <c r="Z132" s="92">
        <f t="shared" si="77"/>
        <v>32.354924242424239</v>
      </c>
      <c r="AA132" s="92">
        <f t="shared" si="78"/>
        <v>28.725764610973858</v>
      </c>
      <c r="AB132" s="92">
        <v>0</v>
      </c>
      <c r="AC132" s="92">
        <f t="shared" si="84"/>
        <v>4.9510173149104686</v>
      </c>
      <c r="AD132" s="95">
        <f t="shared" si="67"/>
        <v>4.9510173149104686</v>
      </c>
      <c r="AE132" s="94">
        <f t="shared" si="76"/>
        <v>19.479166666666664</v>
      </c>
      <c r="AF132" s="92">
        <f t="shared" si="68"/>
        <v>23.687872333535005</v>
      </c>
      <c r="AG132" s="92">
        <f t="shared" si="85"/>
        <v>3.927807069828972</v>
      </c>
      <c r="AH132" s="92">
        <f t="shared" si="86"/>
        <v>8.9826311383928577</v>
      </c>
      <c r="AI132" s="95">
        <f t="shared" si="69"/>
        <v>12.91043820822183</v>
      </c>
      <c r="AJ132" s="94">
        <f t="shared" si="70"/>
        <v>9.1666666666666679</v>
      </c>
      <c r="AK132" s="92">
        <f t="shared" si="87"/>
        <v>16.249746360950532</v>
      </c>
      <c r="AL132" s="92">
        <f t="shared" si="88"/>
        <v>1.8483797975665754</v>
      </c>
      <c r="AM132" s="92">
        <f t="shared" si="95"/>
        <v>0.34846000000000005</v>
      </c>
      <c r="AN132" s="211">
        <f t="shared" si="89"/>
        <v>0.5500337121212121</v>
      </c>
      <c r="AO132" s="95">
        <f t="shared" si="72"/>
        <v>2.7468735096877879</v>
      </c>
      <c r="AP132" s="94">
        <f t="shared" si="90"/>
        <v>1.2377543287276171</v>
      </c>
      <c r="AQ132" s="230">
        <f t="shared" si="91"/>
        <v>4.9510173149104686</v>
      </c>
      <c r="AR132" s="230">
        <f t="shared" si="92"/>
        <v>2.2167935757072685</v>
      </c>
      <c r="AS132" s="92">
        <f t="shared" si="93"/>
        <v>3.6000000000000004E-2</v>
      </c>
      <c r="AT132" s="95">
        <f t="shared" si="94"/>
        <v>4.7519999999999999E-5</v>
      </c>
      <c r="AU132" s="94">
        <f t="shared" si="73"/>
        <v>29.049941772165443</v>
      </c>
      <c r="AV132" s="92">
        <f t="shared" si="74"/>
        <v>412.5</v>
      </c>
      <c r="AW132" s="95">
        <f t="shared" si="75"/>
        <v>93.420915954473188</v>
      </c>
    </row>
    <row r="133" spans="17:49" x14ac:dyDescent="0.25">
      <c r="Q133" s="32">
        <v>126</v>
      </c>
      <c r="R133" s="94">
        <f t="shared" si="49"/>
        <v>45</v>
      </c>
      <c r="S133" s="92">
        <f t="shared" si="79"/>
        <v>9.24</v>
      </c>
      <c r="T133" s="92">
        <f t="shared" si="51"/>
        <v>14.4</v>
      </c>
      <c r="U133" s="95">
        <f t="shared" si="80"/>
        <v>28.875</v>
      </c>
      <c r="V133" s="94">
        <f>IF(Variable_Management!$B$23=3,2,IF((S133*R133/T133)&lt;((T133*(1-(T133/R133)))/(2*Lm*Fsw)),1,2))</f>
        <v>2</v>
      </c>
      <c r="W133" s="92">
        <f t="shared" si="81"/>
        <v>0.67999999999999994</v>
      </c>
      <c r="X133" s="95">
        <f t="shared" si="82"/>
        <v>0.32000000000000006</v>
      </c>
      <c r="Y133" s="94">
        <f t="shared" si="83"/>
        <v>7.4181818181818189</v>
      </c>
      <c r="Z133" s="92">
        <f t="shared" si="77"/>
        <v>32.584090909090911</v>
      </c>
      <c r="AA133" s="92">
        <f t="shared" si="78"/>
        <v>28.954298646728898</v>
      </c>
      <c r="AB133" s="92">
        <v>0</v>
      </c>
      <c r="AC133" s="92">
        <f t="shared" si="84"/>
        <v>5.0301084607438016</v>
      </c>
      <c r="AD133" s="95">
        <f t="shared" si="67"/>
        <v>5.0301084607438016</v>
      </c>
      <c r="AE133" s="94">
        <f t="shared" si="76"/>
        <v>19.634999999999998</v>
      </c>
      <c r="AF133" s="92">
        <f t="shared" si="68"/>
        <v>23.876326327228352</v>
      </c>
      <c r="AG133" s="92">
        <f t="shared" si="85"/>
        <v>3.9905527121900839</v>
      </c>
      <c r="AH133" s="92">
        <f t="shared" si="86"/>
        <v>9.0544921874999993</v>
      </c>
      <c r="AI133" s="95">
        <f t="shared" si="69"/>
        <v>13.045044899690083</v>
      </c>
      <c r="AJ133" s="94">
        <f t="shared" si="70"/>
        <v>9.240000000000002</v>
      </c>
      <c r="AK133" s="92">
        <f t="shared" si="87"/>
        <v>16.379024734081991</v>
      </c>
      <c r="AL133" s="92">
        <f t="shared" si="88"/>
        <v>1.8779071586776874</v>
      </c>
      <c r="AM133" s="92">
        <f t="shared" si="95"/>
        <v>0.34846000000000005</v>
      </c>
      <c r="AN133" s="211">
        <f t="shared" si="89"/>
        <v>0.55392954545454554</v>
      </c>
      <c r="AO133" s="95">
        <f t="shared" si="72"/>
        <v>2.7802967041322333</v>
      </c>
      <c r="AP133" s="94">
        <f t="shared" si="90"/>
        <v>1.2575271151859504</v>
      </c>
      <c r="AQ133" s="230">
        <f t="shared" si="91"/>
        <v>5.0301084607438016</v>
      </c>
      <c r="AR133" s="230">
        <f t="shared" si="92"/>
        <v>2.2167935757072685</v>
      </c>
      <c r="AS133" s="92">
        <f t="shared" si="93"/>
        <v>3.6000000000000004E-2</v>
      </c>
      <c r="AT133" s="95">
        <f t="shared" si="94"/>
        <v>4.7519999999999999E-5</v>
      </c>
      <c r="AU133" s="94">
        <f t="shared" si="73"/>
        <v>29.395926736203137</v>
      </c>
      <c r="AV133" s="92">
        <f t="shared" si="74"/>
        <v>415.8</v>
      </c>
      <c r="AW133" s="95">
        <f t="shared" si="75"/>
        <v>93.397080932049619</v>
      </c>
    </row>
    <row r="134" spans="17:49" x14ac:dyDescent="0.25">
      <c r="Q134" s="32">
        <v>127</v>
      </c>
      <c r="R134" s="94">
        <f t="shared" si="49"/>
        <v>45</v>
      </c>
      <c r="S134" s="92">
        <f t="shared" si="79"/>
        <v>9.3133333333333326</v>
      </c>
      <c r="T134" s="92">
        <f t="shared" si="51"/>
        <v>14.4</v>
      </c>
      <c r="U134" s="95">
        <f t="shared" si="80"/>
        <v>29.104166666666664</v>
      </c>
      <c r="V134" s="94">
        <f>IF(Variable_Management!$B$23=3,2,IF((S134*R134/T134)&lt;((T134*(1-(T134/R134)))/(2*Lm*Fsw)),1,2))</f>
        <v>2</v>
      </c>
      <c r="W134" s="92">
        <f t="shared" si="81"/>
        <v>0.67999999999999994</v>
      </c>
      <c r="X134" s="95">
        <f t="shared" si="82"/>
        <v>0.32000000000000006</v>
      </c>
      <c r="Y134" s="94">
        <f t="shared" si="83"/>
        <v>7.4181818181818189</v>
      </c>
      <c r="Z134" s="92">
        <f t="shared" si="77"/>
        <v>32.813257575757575</v>
      </c>
      <c r="AA134" s="92">
        <f t="shared" si="78"/>
        <v>29.182842604603788</v>
      </c>
      <c r="AB134" s="92">
        <v>0</v>
      </c>
      <c r="AC134" s="92">
        <f t="shared" si="84"/>
        <v>5.1098298149104684</v>
      </c>
      <c r="AD134" s="95">
        <f t="shared" si="67"/>
        <v>5.1098298149104684</v>
      </c>
      <c r="AE134" s="94">
        <f t="shared" si="76"/>
        <v>19.790833333333328</v>
      </c>
      <c r="AF134" s="92">
        <f t="shared" si="68"/>
        <v>24.064788502911327</v>
      </c>
      <c r="AG134" s="92">
        <f t="shared" si="85"/>
        <v>4.0537983198289718</v>
      </c>
      <c r="AH134" s="92">
        <f t="shared" si="86"/>
        <v>9.1263532366071427</v>
      </c>
      <c r="AI134" s="95">
        <f t="shared" si="69"/>
        <v>13.180151556436115</v>
      </c>
      <c r="AJ134" s="94">
        <f t="shared" si="70"/>
        <v>9.3133333333333344</v>
      </c>
      <c r="AK134" s="92">
        <f t="shared" si="87"/>
        <v>16.508308720012025</v>
      </c>
      <c r="AL134" s="92">
        <f t="shared" si="88"/>
        <v>1.9076697975665753</v>
      </c>
      <c r="AM134" s="92">
        <f t="shared" si="95"/>
        <v>0.34846000000000005</v>
      </c>
      <c r="AN134" s="211">
        <f t="shared" si="89"/>
        <v>0.55782537878787886</v>
      </c>
      <c r="AO134" s="95">
        <f t="shared" si="72"/>
        <v>2.8139551763544546</v>
      </c>
      <c r="AP134" s="94">
        <f t="shared" si="90"/>
        <v>1.2774574537276171</v>
      </c>
      <c r="AQ134" s="230">
        <f t="shared" si="91"/>
        <v>5.1098298149104684</v>
      </c>
      <c r="AR134" s="230">
        <f t="shared" si="92"/>
        <v>2.2167935757072685</v>
      </c>
      <c r="AS134" s="92">
        <f t="shared" si="93"/>
        <v>3.6000000000000004E-2</v>
      </c>
      <c r="AT134" s="95">
        <f t="shared" si="94"/>
        <v>4.7519999999999999E-5</v>
      </c>
      <c r="AU134" s="94">
        <f t="shared" si="73"/>
        <v>29.744064912046394</v>
      </c>
      <c r="AV134" s="92">
        <f t="shared" si="74"/>
        <v>419.09999999999997</v>
      </c>
      <c r="AW134" s="95">
        <f t="shared" si="75"/>
        <v>93.373185202331925</v>
      </c>
    </row>
    <row r="135" spans="17:49" x14ac:dyDescent="0.25">
      <c r="Q135" s="32">
        <v>128</v>
      </c>
      <c r="R135" s="94">
        <f t="shared" ref="R135:R157" si="96">VOUT</f>
        <v>45</v>
      </c>
      <c r="S135" s="92">
        <f t="shared" ref="S135:S157" si="97">Q135*$O$12</f>
        <v>9.3866666666666667</v>
      </c>
      <c r="T135" s="92">
        <f t="shared" ref="T135:T157" si="98">VIN_var</f>
        <v>14.4</v>
      </c>
      <c r="U135" s="95">
        <f t="shared" ref="U135:U157" si="99">(R135*S135)/(T135*EFF_est)</f>
        <v>29.333333333333332</v>
      </c>
      <c r="V135" s="94">
        <f>IF(Variable_Management!$B$23=3,2,IF((S135*R135/T135)&lt;((T135*(1-(T135/R135)))/(2*Lm*Fsw)),1,2))</f>
        <v>2</v>
      </c>
      <c r="W135" s="92">
        <f t="shared" ref="W135:W157" si="100">CHOOSE(V135,SQRT((2*S135*Lm*Fsw*(R135-T135))/((T135)^2)),1-(T135/R135))</f>
        <v>0.67999999999999994</v>
      </c>
      <c r="X135" s="95">
        <f t="shared" ref="X135:X157" si="101">CHOOSE(V135,(Lm*Z135*Fsw)/(R135-T135),1-W135)</f>
        <v>0.32000000000000006</v>
      </c>
      <c r="Y135" s="94">
        <f t="shared" ref="Y135:Y157" si="102">(T135*W135)/(Lm*Fsw)</f>
        <v>7.4181818181818189</v>
      </c>
      <c r="Z135" s="92">
        <f t="shared" si="77"/>
        <v>33.042424242424239</v>
      </c>
      <c r="AA135" s="92">
        <f t="shared" si="78"/>
        <v>29.411396253296296</v>
      </c>
      <c r="AB135" s="92">
        <v>0</v>
      </c>
      <c r="AC135" s="92">
        <f t="shared" ref="AC135:AC157" si="103">(AA135^2)*Rdcr</f>
        <v>5.190181377410469</v>
      </c>
      <c r="AD135" s="95">
        <f t="shared" si="67"/>
        <v>5.190181377410469</v>
      </c>
      <c r="AE135" s="94">
        <f t="shared" si="76"/>
        <v>19.946666666666665</v>
      </c>
      <c r="AF135" s="92">
        <f t="shared" si="68"/>
        <v>24.253258669847224</v>
      </c>
      <c r="AG135" s="92">
        <f t="shared" ref="AG135:AG157" si="104">(AF135^2)*RDS_on</f>
        <v>4.1175438927456369</v>
      </c>
      <c r="AH135" s="92">
        <f t="shared" ref="AH135:AH157" si="105">((R135*U135)/2)*Fsw*(tr_sw+tf_sw)</f>
        <v>9.1982142857142861</v>
      </c>
      <c r="AI135" s="95">
        <f t="shared" si="69"/>
        <v>13.315758178459923</v>
      </c>
      <c r="AJ135" s="94">
        <f t="shared" si="70"/>
        <v>9.3866666666666685</v>
      </c>
      <c r="AK135" s="92">
        <f t="shared" ref="AK135:AK157" si="106">CHOOSE(V135,Z135*SQRT(X135/3),SQRT(X135*((Z135^2)+((Y135^2)/3)-(Y135*Z135))))</f>
        <v>16.637598187896341</v>
      </c>
      <c r="AL135" s="92">
        <f t="shared" ref="AL135:AL157" si="107">(AK135^2)*RDS_on_HS</f>
        <v>1.937667714233241</v>
      </c>
      <c r="AM135" s="92">
        <f t="shared" si="95"/>
        <v>0.34846000000000005</v>
      </c>
      <c r="AN135" s="211">
        <f t="shared" ref="AN135:AN157" si="108">Vd_rect*t_dead*Fsw*Z135</f>
        <v>0.56172121212121207</v>
      </c>
      <c r="AO135" s="95">
        <f t="shared" si="72"/>
        <v>2.8478489263544531</v>
      </c>
      <c r="AP135" s="94">
        <f t="shared" ref="AP135:AP157" si="109">(AA135^2)*R_cs</f>
        <v>1.2975453443526173</v>
      </c>
      <c r="AQ135" s="230">
        <f t="shared" ref="AQ135:AQ157" si="110">Rdcr*AA135^2</f>
        <v>5.190181377410469</v>
      </c>
      <c r="AR135" s="230">
        <f t="shared" ref="AR135:AR157" si="111">ABS(7.759*10^-3*Fsw^0.9458*(0.00787*Y135)^2.304)</f>
        <v>2.2167935757072685</v>
      </c>
      <c r="AS135" s="92">
        <f t="shared" ref="AS135:AS157" si="112">(Qg_tot+Qg_tot_HS)*Vcc*Fsw</f>
        <v>3.6000000000000004E-2</v>
      </c>
      <c r="AT135" s="95">
        <f t="shared" ref="AT135:AT157" si="113">IQ*T135</f>
        <v>4.7519999999999999E-5</v>
      </c>
      <c r="AU135" s="94">
        <f t="shared" si="73"/>
        <v>30.0943562996952</v>
      </c>
      <c r="AV135" s="92">
        <f t="shared" si="74"/>
        <v>422.4</v>
      </c>
      <c r="AW135" s="95">
        <f t="shared" si="75"/>
        <v>93.349230574764746</v>
      </c>
    </row>
    <row r="136" spans="17:49" x14ac:dyDescent="0.25">
      <c r="Q136" s="32">
        <v>129</v>
      </c>
      <c r="R136" s="94">
        <f t="shared" si="96"/>
        <v>45</v>
      </c>
      <c r="S136" s="92">
        <f t="shared" si="97"/>
        <v>9.4600000000000009</v>
      </c>
      <c r="T136" s="92">
        <f t="shared" si="98"/>
        <v>14.4</v>
      </c>
      <c r="U136" s="95">
        <f t="shared" si="99"/>
        <v>29.562500000000004</v>
      </c>
      <c r="V136" s="94">
        <f>IF(Variable_Management!$B$23=3,2,IF((S136*R136/T136)&lt;((T136*(1-(T136/R136)))/(2*Lm*Fsw)),1,2))</f>
        <v>2</v>
      </c>
      <c r="W136" s="92">
        <f t="shared" si="100"/>
        <v>0.67999999999999994</v>
      </c>
      <c r="X136" s="95">
        <f t="shared" si="101"/>
        <v>0.32000000000000006</v>
      </c>
      <c r="Y136" s="94">
        <f t="shared" si="102"/>
        <v>7.4181818181818189</v>
      </c>
      <c r="Z136" s="92">
        <f t="shared" si="77"/>
        <v>33.271590909090911</v>
      </c>
      <c r="AA136" s="92">
        <f t="shared" si="78"/>
        <v>29.639959368628816</v>
      </c>
      <c r="AB136" s="92">
        <v>0</v>
      </c>
      <c r="AC136" s="92">
        <f t="shared" si="103"/>
        <v>5.2711631482438026</v>
      </c>
      <c r="AD136" s="95">
        <f t="shared" ref="AD136:AD157" si="114">AB136+AC136</f>
        <v>5.2711631482438026</v>
      </c>
      <c r="AE136" s="94">
        <f t="shared" si="76"/>
        <v>20.102499999999999</v>
      </c>
      <c r="AF136" s="92">
        <f t="shared" ref="AF136:AF157" si="115">CHOOSE(V136,Z136*SQRT(W136/3),SQRT(W136*((Z136^2)+((Y136^2)/3)-(Z136*Y136))))</f>
        <v>24.441736643174469</v>
      </c>
      <c r="AG136" s="92">
        <f t="shared" si="104"/>
        <v>4.1817894309400829</v>
      </c>
      <c r="AH136" s="92">
        <f t="shared" si="105"/>
        <v>9.2700753348214313</v>
      </c>
      <c r="AI136" s="95">
        <f t="shared" ref="AI136:AI157" si="116">AG136+AH136</f>
        <v>13.451864765761513</v>
      </c>
      <c r="AJ136" s="94">
        <f t="shared" ref="AJ136:AJ156" si="117">X136*U136</f>
        <v>9.4600000000000026</v>
      </c>
      <c r="AK136" s="92">
        <f t="shared" si="106"/>
        <v>16.766893010920942</v>
      </c>
      <c r="AL136" s="92">
        <f t="shared" si="107"/>
        <v>1.9679009086776866</v>
      </c>
      <c r="AM136" s="92">
        <f t="shared" ref="AM136:AM157" si="118">CHOOSE(V136,(R136+Vd_rect)*Qrr*Fsw,(R136+Vd_rect)*Qrr*Fsw)</f>
        <v>0.34846000000000005</v>
      </c>
      <c r="AN136" s="211">
        <f t="shared" si="108"/>
        <v>0.5656170454545455</v>
      </c>
      <c r="AO136" s="95">
        <f t="shared" ref="AO136:AO157" si="119">AL136+AM136+AN136</f>
        <v>2.8819779541322323</v>
      </c>
      <c r="AP136" s="94">
        <f t="shared" si="109"/>
        <v>1.3177907870609507</v>
      </c>
      <c r="AQ136" s="230">
        <f t="shared" si="110"/>
        <v>5.2711631482438026</v>
      </c>
      <c r="AR136" s="230">
        <f t="shared" si="111"/>
        <v>2.2167935757072685</v>
      </c>
      <c r="AS136" s="92">
        <f t="shared" si="112"/>
        <v>3.6000000000000004E-2</v>
      </c>
      <c r="AT136" s="95">
        <f t="shared" si="113"/>
        <v>4.7519999999999999E-5</v>
      </c>
      <c r="AU136" s="94">
        <f t="shared" ref="AU136:AU157" si="120">AP136+AO136+AI136+AD136+AS136+AT136+AQ136+AR136</f>
        <v>30.446800899149569</v>
      </c>
      <c r="AV136" s="92">
        <f t="shared" ref="AV136:AV157" si="121">R136*S136</f>
        <v>425.70000000000005</v>
      </c>
      <c r="AW136" s="95">
        <f t="shared" ref="AW136:AW156" si="122">(AV136/(AV136+AU136))*100</f>
        <v>93.325218802558012</v>
      </c>
    </row>
    <row r="137" spans="17:49" x14ac:dyDescent="0.25">
      <c r="Q137" s="32">
        <v>130</v>
      </c>
      <c r="R137" s="94">
        <f t="shared" si="96"/>
        <v>45</v>
      </c>
      <c r="S137" s="92">
        <f t="shared" si="97"/>
        <v>9.5333333333333332</v>
      </c>
      <c r="T137" s="92">
        <f t="shared" si="98"/>
        <v>14.4</v>
      </c>
      <c r="U137" s="95">
        <f t="shared" si="99"/>
        <v>29.791666666666664</v>
      </c>
      <c r="V137" s="94">
        <f>IF(Variable_Management!$B$23=3,2,IF((S137*R137/T137)&lt;((T137*(1-(T137/R137)))/(2*Lm*Fsw)),1,2))</f>
        <v>2</v>
      </c>
      <c r="W137" s="92">
        <f t="shared" si="100"/>
        <v>0.67999999999999994</v>
      </c>
      <c r="X137" s="95">
        <f t="shared" si="101"/>
        <v>0.32000000000000006</v>
      </c>
      <c r="Y137" s="94">
        <f t="shared" si="102"/>
        <v>7.4181818181818189</v>
      </c>
      <c r="Z137" s="92">
        <f t="shared" si="77"/>
        <v>33.500757575757575</v>
      </c>
      <c r="AA137" s="92">
        <f t="shared" si="78"/>
        <v>29.868531733276487</v>
      </c>
      <c r="AB137" s="92">
        <v>0</v>
      </c>
      <c r="AC137" s="92">
        <f t="shared" si="103"/>
        <v>5.3527751274104673</v>
      </c>
      <c r="AD137" s="95">
        <f t="shared" si="114"/>
        <v>5.3527751274104673</v>
      </c>
      <c r="AE137" s="94">
        <f t="shared" ref="AE137:AE157" si="123">U137*W137</f>
        <v>20.258333333333329</v>
      </c>
      <c r="AF137" s="92">
        <f t="shared" si="115"/>
        <v>24.630222243682383</v>
      </c>
      <c r="AG137" s="92">
        <f t="shared" si="104"/>
        <v>4.2465349344123053</v>
      </c>
      <c r="AH137" s="92">
        <f t="shared" si="105"/>
        <v>9.3419363839285712</v>
      </c>
      <c r="AI137" s="95">
        <f t="shared" si="116"/>
        <v>13.588471318340876</v>
      </c>
      <c r="AJ137" s="94">
        <f t="shared" si="117"/>
        <v>9.533333333333335</v>
      </c>
      <c r="AK137" s="92">
        <f t="shared" si="106"/>
        <v>16.896193066148314</v>
      </c>
      <c r="AL137" s="92">
        <f t="shared" si="107"/>
        <v>1.9983693808999086</v>
      </c>
      <c r="AM137" s="92">
        <f t="shared" si="118"/>
        <v>0.34846000000000005</v>
      </c>
      <c r="AN137" s="211">
        <f t="shared" si="108"/>
        <v>0.56951287878787882</v>
      </c>
      <c r="AO137" s="95">
        <f t="shared" si="119"/>
        <v>2.9163422596877875</v>
      </c>
      <c r="AP137" s="94">
        <f t="shared" si="109"/>
        <v>1.3381937818526168</v>
      </c>
      <c r="AQ137" s="230">
        <f t="shared" si="110"/>
        <v>5.3527751274104673</v>
      </c>
      <c r="AR137" s="230">
        <f t="shared" si="111"/>
        <v>2.2167935757072685</v>
      </c>
      <c r="AS137" s="92">
        <f t="shared" si="112"/>
        <v>3.6000000000000004E-2</v>
      </c>
      <c r="AT137" s="95">
        <f t="shared" si="113"/>
        <v>4.7519999999999999E-5</v>
      </c>
      <c r="AU137" s="94">
        <f t="shared" si="120"/>
        <v>30.801398710409483</v>
      </c>
      <c r="AV137" s="92">
        <f t="shared" si="121"/>
        <v>429</v>
      </c>
      <c r="AW137" s="95">
        <f t="shared" si="122"/>
        <v>93.301151584837015</v>
      </c>
    </row>
    <row r="138" spans="17:49" x14ac:dyDescent="0.25">
      <c r="Q138" s="32">
        <v>131</v>
      </c>
      <c r="R138" s="94">
        <f t="shared" si="96"/>
        <v>45</v>
      </c>
      <c r="S138" s="92">
        <f t="shared" si="97"/>
        <v>9.6066666666666674</v>
      </c>
      <c r="T138" s="92">
        <f t="shared" si="98"/>
        <v>14.4</v>
      </c>
      <c r="U138" s="95">
        <f t="shared" si="99"/>
        <v>30.020833333333332</v>
      </c>
      <c r="V138" s="94">
        <f>IF(Variable_Management!$B$23=3,2,IF((S138*R138/T138)&lt;((T138*(1-(T138/R138)))/(2*Lm*Fsw)),1,2))</f>
        <v>2</v>
      </c>
      <c r="W138" s="92">
        <f t="shared" si="100"/>
        <v>0.67999999999999994</v>
      </c>
      <c r="X138" s="95">
        <f t="shared" si="101"/>
        <v>0.32000000000000006</v>
      </c>
      <c r="Y138" s="94">
        <f t="shared" si="102"/>
        <v>7.4181818181818189</v>
      </c>
      <c r="Z138" s="92">
        <f t="shared" si="77"/>
        <v>33.729924242424239</v>
      </c>
      <c r="AA138" s="92">
        <f t="shared" si="78"/>
        <v>30.097113136507705</v>
      </c>
      <c r="AB138" s="92">
        <v>0</v>
      </c>
      <c r="AC138" s="92">
        <f t="shared" si="103"/>
        <v>5.4350173149104686</v>
      </c>
      <c r="AD138" s="95">
        <f t="shared" si="114"/>
        <v>5.4350173149104686</v>
      </c>
      <c r="AE138" s="94">
        <f t="shared" si="123"/>
        <v>20.414166666666663</v>
      </c>
      <c r="AF138" s="92">
        <f t="shared" si="115"/>
        <v>24.818715297597219</v>
      </c>
      <c r="AG138" s="92">
        <f t="shared" si="104"/>
        <v>4.3117804031623033</v>
      </c>
      <c r="AH138" s="92">
        <f t="shared" si="105"/>
        <v>9.4137974330357146</v>
      </c>
      <c r="AI138" s="95">
        <f t="shared" si="116"/>
        <v>13.725577836198017</v>
      </c>
      <c r="AJ138" s="94">
        <f t="shared" si="117"/>
        <v>9.6066666666666674</v>
      </c>
      <c r="AK138" s="92">
        <f t="shared" si="106"/>
        <v>17.025498234370655</v>
      </c>
      <c r="AL138" s="92">
        <f t="shared" si="107"/>
        <v>2.0290731308999082</v>
      </c>
      <c r="AM138" s="92">
        <f t="shared" si="118"/>
        <v>0.34846000000000005</v>
      </c>
      <c r="AN138" s="211">
        <f t="shared" si="108"/>
        <v>0.57340871212121214</v>
      </c>
      <c r="AO138" s="95">
        <f t="shared" si="119"/>
        <v>2.9509418430211207</v>
      </c>
      <c r="AP138" s="94">
        <f t="shared" si="109"/>
        <v>1.3587543287276171</v>
      </c>
      <c r="AQ138" s="230">
        <f t="shared" si="110"/>
        <v>5.4350173149104686</v>
      </c>
      <c r="AR138" s="230">
        <f t="shared" si="111"/>
        <v>2.2167935757072685</v>
      </c>
      <c r="AS138" s="92">
        <f t="shared" si="112"/>
        <v>3.6000000000000004E-2</v>
      </c>
      <c r="AT138" s="95">
        <f t="shared" si="113"/>
        <v>4.7519999999999999E-5</v>
      </c>
      <c r="AU138" s="94">
        <f t="shared" si="120"/>
        <v>31.158149733474957</v>
      </c>
      <c r="AV138" s="92">
        <f t="shared" si="121"/>
        <v>432.3</v>
      </c>
      <c r="AW138" s="95">
        <f t="shared" si="122"/>
        <v>93.277030568694641</v>
      </c>
    </row>
    <row r="139" spans="17:49" x14ac:dyDescent="0.25">
      <c r="Q139" s="32">
        <v>132</v>
      </c>
      <c r="R139" s="94">
        <f t="shared" si="96"/>
        <v>45</v>
      </c>
      <c r="S139" s="92">
        <f t="shared" si="97"/>
        <v>9.68</v>
      </c>
      <c r="T139" s="92">
        <f t="shared" si="98"/>
        <v>14.4</v>
      </c>
      <c r="U139" s="95">
        <f t="shared" si="99"/>
        <v>30.249999999999996</v>
      </c>
      <c r="V139" s="94">
        <f>IF(Variable_Management!$B$23=3,2,IF((S139*R139/T139)&lt;((T139*(1-(T139/R139)))/(2*Lm*Fsw)),1,2))</f>
        <v>2</v>
      </c>
      <c r="W139" s="92">
        <f t="shared" si="100"/>
        <v>0.67999999999999994</v>
      </c>
      <c r="X139" s="95">
        <f t="shared" si="101"/>
        <v>0.32000000000000006</v>
      </c>
      <c r="Y139" s="94">
        <f t="shared" si="102"/>
        <v>7.4181818181818189</v>
      </c>
      <c r="Z139" s="92">
        <f t="shared" si="77"/>
        <v>33.959090909090904</v>
      </c>
      <c r="AA139" s="92">
        <f t="shared" si="78"/>
        <v>30.325703373936221</v>
      </c>
      <c r="AB139" s="92">
        <v>0</v>
      </c>
      <c r="AC139" s="92">
        <f t="shared" si="103"/>
        <v>5.5178897107438001</v>
      </c>
      <c r="AD139" s="95">
        <f t="shared" si="114"/>
        <v>5.5178897107438001</v>
      </c>
      <c r="AE139" s="94">
        <f t="shared" si="123"/>
        <v>20.569999999999997</v>
      </c>
      <c r="AF139" s="92">
        <f t="shared" si="115"/>
        <v>25.007215636377779</v>
      </c>
      <c r="AG139" s="92">
        <f t="shared" si="104"/>
        <v>4.3775258371900811</v>
      </c>
      <c r="AH139" s="92">
        <f t="shared" si="105"/>
        <v>9.4856584821428545</v>
      </c>
      <c r="AI139" s="95">
        <f t="shared" si="116"/>
        <v>13.863184319332936</v>
      </c>
      <c r="AJ139" s="94">
        <f t="shared" si="117"/>
        <v>9.6800000000000015</v>
      </c>
      <c r="AK139" s="92">
        <f t="shared" si="106"/>
        <v>17.154808399969653</v>
      </c>
      <c r="AL139" s="92">
        <f t="shared" si="107"/>
        <v>2.0600121586776856</v>
      </c>
      <c r="AM139" s="92">
        <f t="shared" si="118"/>
        <v>0.34846000000000005</v>
      </c>
      <c r="AN139" s="211">
        <f t="shared" si="108"/>
        <v>0.57730454545454546</v>
      </c>
      <c r="AO139" s="95">
        <f t="shared" si="119"/>
        <v>2.9857767041322312</v>
      </c>
      <c r="AP139" s="94">
        <f t="shared" si="109"/>
        <v>1.37947242768595</v>
      </c>
      <c r="AQ139" s="230">
        <f t="shared" si="110"/>
        <v>5.5178897107438001</v>
      </c>
      <c r="AR139" s="230">
        <f t="shared" si="111"/>
        <v>2.2167935757072685</v>
      </c>
      <c r="AS139" s="92">
        <f t="shared" si="112"/>
        <v>3.6000000000000004E-2</v>
      </c>
      <c r="AT139" s="95">
        <f t="shared" si="113"/>
        <v>4.7519999999999999E-5</v>
      </c>
      <c r="AU139" s="94">
        <f t="shared" si="120"/>
        <v>31.517053968345987</v>
      </c>
      <c r="AV139" s="92">
        <f t="shared" si="121"/>
        <v>435.59999999999997</v>
      </c>
      <c r="AW139" s="95">
        <f t="shared" si="122"/>
        <v>93.252857351150851</v>
      </c>
    </row>
    <row r="140" spans="17:49" x14ac:dyDescent="0.25">
      <c r="Q140" s="32">
        <v>133</v>
      </c>
      <c r="R140" s="94">
        <f t="shared" si="96"/>
        <v>45</v>
      </c>
      <c r="S140" s="92">
        <f t="shared" si="97"/>
        <v>9.7533333333333339</v>
      </c>
      <c r="T140" s="92">
        <f t="shared" si="98"/>
        <v>14.4</v>
      </c>
      <c r="U140" s="95">
        <f t="shared" si="99"/>
        <v>30.479166666666668</v>
      </c>
      <c r="V140" s="94">
        <f>IF(Variable_Management!$B$23=3,2,IF((S140*R140/T140)&lt;((T140*(1-(T140/R140)))/(2*Lm*Fsw)),1,2))</f>
        <v>2</v>
      </c>
      <c r="W140" s="92">
        <f t="shared" si="100"/>
        <v>0.67999999999999994</v>
      </c>
      <c r="X140" s="95">
        <f t="shared" si="101"/>
        <v>0.32000000000000006</v>
      </c>
      <c r="Y140" s="94">
        <f t="shared" si="102"/>
        <v>7.4181818181818189</v>
      </c>
      <c r="Z140" s="92">
        <f t="shared" si="77"/>
        <v>34.188257575757575</v>
      </c>
      <c r="AA140" s="92">
        <f t="shared" si="78"/>
        <v>30.554302247284451</v>
      </c>
      <c r="AB140" s="92">
        <v>0</v>
      </c>
      <c r="AC140" s="92">
        <f t="shared" si="103"/>
        <v>5.6013923149104698</v>
      </c>
      <c r="AD140" s="95">
        <f t="shared" si="114"/>
        <v>5.6013923149104698</v>
      </c>
      <c r="AE140" s="94">
        <f t="shared" si="123"/>
        <v>20.725833333333334</v>
      </c>
      <c r="AF140" s="92">
        <f t="shared" si="115"/>
        <v>25.195723096520165</v>
      </c>
      <c r="AG140" s="92">
        <f t="shared" si="104"/>
        <v>4.4437712364956381</v>
      </c>
      <c r="AH140" s="92">
        <f t="shared" si="105"/>
        <v>9.5575195312499996</v>
      </c>
      <c r="AI140" s="95">
        <f t="shared" si="116"/>
        <v>14.001290767745637</v>
      </c>
      <c r="AJ140" s="94">
        <f t="shared" si="117"/>
        <v>9.7533333333333356</v>
      </c>
      <c r="AK140" s="92">
        <f t="shared" si="106"/>
        <v>17.284123450782563</v>
      </c>
      <c r="AL140" s="92">
        <f t="shared" si="107"/>
        <v>2.0911864642332421</v>
      </c>
      <c r="AM140" s="92">
        <f t="shared" si="118"/>
        <v>0.34846000000000005</v>
      </c>
      <c r="AN140" s="211">
        <f t="shared" si="108"/>
        <v>0.58120037878787878</v>
      </c>
      <c r="AO140" s="95">
        <f t="shared" si="119"/>
        <v>3.0208468430211211</v>
      </c>
      <c r="AP140" s="94">
        <f t="shared" si="109"/>
        <v>1.4003480787276175</v>
      </c>
      <c r="AQ140" s="230">
        <f t="shared" si="110"/>
        <v>5.6013923149104698</v>
      </c>
      <c r="AR140" s="230">
        <f t="shared" si="111"/>
        <v>2.2167935757072685</v>
      </c>
      <c r="AS140" s="92">
        <f t="shared" si="112"/>
        <v>3.6000000000000004E-2</v>
      </c>
      <c r="AT140" s="95">
        <f t="shared" si="113"/>
        <v>4.7519999999999999E-5</v>
      </c>
      <c r="AU140" s="94">
        <f t="shared" si="120"/>
        <v>31.878111415022584</v>
      </c>
      <c r="AV140" s="92">
        <f t="shared" si="121"/>
        <v>438.90000000000003</v>
      </c>
      <c r="AW140" s="95">
        <f t="shared" si="122"/>
        <v>93.228633481024374</v>
      </c>
    </row>
    <row r="141" spans="17:49" x14ac:dyDescent="0.25">
      <c r="Q141" s="32">
        <v>134</v>
      </c>
      <c r="R141" s="94">
        <f t="shared" si="96"/>
        <v>45</v>
      </c>
      <c r="S141" s="92">
        <f t="shared" si="97"/>
        <v>9.8266666666666662</v>
      </c>
      <c r="T141" s="92">
        <f t="shared" si="98"/>
        <v>14.4</v>
      </c>
      <c r="U141" s="95">
        <f t="shared" si="99"/>
        <v>30.708333333333332</v>
      </c>
      <c r="V141" s="94">
        <f>IF(Variable_Management!$B$23=3,2,IF((S141*R141/T141)&lt;((T141*(1-(T141/R141)))/(2*Lm*Fsw)),1,2))</f>
        <v>2</v>
      </c>
      <c r="W141" s="92">
        <f t="shared" si="100"/>
        <v>0.67999999999999994</v>
      </c>
      <c r="X141" s="95">
        <f t="shared" si="101"/>
        <v>0.32000000000000006</v>
      </c>
      <c r="Y141" s="94">
        <f t="shared" si="102"/>
        <v>7.4181818181818189</v>
      </c>
      <c r="Z141" s="92">
        <f t="shared" si="77"/>
        <v>34.417424242424239</v>
      </c>
      <c r="AA141" s="92">
        <f t="shared" si="78"/>
        <v>30.782909564157155</v>
      </c>
      <c r="AB141" s="92">
        <v>0</v>
      </c>
      <c r="AC141" s="92">
        <f t="shared" si="103"/>
        <v>5.6855251274104681</v>
      </c>
      <c r="AD141" s="95">
        <f t="shared" si="114"/>
        <v>5.6855251274104681</v>
      </c>
      <c r="AE141" s="94">
        <f t="shared" si="123"/>
        <v>20.881666666666664</v>
      </c>
      <c r="AF141" s="92">
        <f t="shared" si="115"/>
        <v>25.384237519371208</v>
      </c>
      <c r="AG141" s="92">
        <f t="shared" si="104"/>
        <v>4.5105166010789706</v>
      </c>
      <c r="AH141" s="92">
        <f t="shared" si="105"/>
        <v>9.6293805803571431</v>
      </c>
      <c r="AI141" s="95">
        <f t="shared" si="116"/>
        <v>14.139897181436114</v>
      </c>
      <c r="AJ141" s="94">
        <f t="shared" si="117"/>
        <v>9.826666666666668</v>
      </c>
      <c r="AK141" s="92">
        <f t="shared" si="106"/>
        <v>17.413443277974203</v>
      </c>
      <c r="AL141" s="92">
        <f t="shared" si="107"/>
        <v>2.1225960475665744</v>
      </c>
      <c r="AM141" s="92">
        <f t="shared" si="118"/>
        <v>0.34846000000000005</v>
      </c>
      <c r="AN141" s="211">
        <f t="shared" si="108"/>
        <v>0.5850962121212121</v>
      </c>
      <c r="AO141" s="95">
        <f t="shared" si="119"/>
        <v>3.0561522596877868</v>
      </c>
      <c r="AP141" s="94">
        <f t="shared" si="109"/>
        <v>1.421381281852617</v>
      </c>
      <c r="AQ141" s="230">
        <f t="shared" si="110"/>
        <v>5.6855251274104681</v>
      </c>
      <c r="AR141" s="230">
        <f t="shared" si="111"/>
        <v>2.2167935757072685</v>
      </c>
      <c r="AS141" s="92">
        <f t="shared" si="112"/>
        <v>3.6000000000000004E-2</v>
      </c>
      <c r="AT141" s="95">
        <f t="shared" si="113"/>
        <v>4.7519999999999999E-5</v>
      </c>
      <c r="AU141" s="94">
        <f t="shared" si="120"/>
        <v>32.241322073504726</v>
      </c>
      <c r="AV141" s="92">
        <f t="shared" si="121"/>
        <v>442.2</v>
      </c>
      <c r="AW141" s="95">
        <f t="shared" si="122"/>
        <v>93.204360460721077</v>
      </c>
    </row>
    <row r="142" spans="17:49" x14ac:dyDescent="0.25">
      <c r="Q142" s="32">
        <v>135</v>
      </c>
      <c r="R142" s="94">
        <f t="shared" si="96"/>
        <v>45</v>
      </c>
      <c r="S142" s="92">
        <f t="shared" si="97"/>
        <v>9.9</v>
      </c>
      <c r="T142" s="92">
        <f t="shared" si="98"/>
        <v>14.4</v>
      </c>
      <c r="U142" s="95">
        <f t="shared" si="99"/>
        <v>30.9375</v>
      </c>
      <c r="V142" s="94">
        <f>IF(Variable_Management!$B$23=3,2,IF((S142*R142/T142)&lt;((T142*(1-(T142/R142)))/(2*Lm*Fsw)),1,2))</f>
        <v>2</v>
      </c>
      <c r="W142" s="92">
        <f t="shared" si="100"/>
        <v>0.67999999999999994</v>
      </c>
      <c r="X142" s="95">
        <f t="shared" si="101"/>
        <v>0.32000000000000006</v>
      </c>
      <c r="Y142" s="94">
        <f t="shared" si="102"/>
        <v>7.4181818181818189</v>
      </c>
      <c r="Z142" s="92">
        <f t="shared" si="77"/>
        <v>34.646590909090911</v>
      </c>
      <c r="AA142" s="92">
        <f t="shared" si="78"/>
        <v>31.011525137825242</v>
      </c>
      <c r="AB142" s="92">
        <v>0</v>
      </c>
      <c r="AC142" s="92">
        <f t="shared" si="103"/>
        <v>5.7702881482438011</v>
      </c>
      <c r="AD142" s="95">
        <f t="shared" si="114"/>
        <v>5.7702881482438011</v>
      </c>
      <c r="AE142" s="94">
        <f t="shared" si="123"/>
        <v>21.037499999999998</v>
      </c>
      <c r="AF142" s="92">
        <f t="shared" si="115"/>
        <v>25.57275875095015</v>
      </c>
      <c r="AG142" s="92">
        <f t="shared" si="104"/>
        <v>4.577761930940083</v>
      </c>
      <c r="AH142" s="92">
        <f t="shared" si="105"/>
        <v>9.7012416294642847</v>
      </c>
      <c r="AI142" s="95">
        <f t="shared" si="116"/>
        <v>14.279003560404368</v>
      </c>
      <c r="AJ142" s="94">
        <f t="shared" si="117"/>
        <v>9.9000000000000021</v>
      </c>
      <c r="AK142" s="92">
        <f t="shared" si="106"/>
        <v>17.542767775914651</v>
      </c>
      <c r="AL142" s="92">
        <f t="shared" si="107"/>
        <v>2.1542409086776861</v>
      </c>
      <c r="AM142" s="92">
        <f t="shared" si="118"/>
        <v>0.34846000000000005</v>
      </c>
      <c r="AN142" s="211">
        <f t="shared" si="108"/>
        <v>0.58899204545454553</v>
      </c>
      <c r="AO142" s="95">
        <f t="shared" si="119"/>
        <v>3.091692954132232</v>
      </c>
      <c r="AP142" s="94">
        <f t="shared" si="109"/>
        <v>1.4425720370609503</v>
      </c>
      <c r="AQ142" s="230">
        <f t="shared" si="110"/>
        <v>5.7702881482438011</v>
      </c>
      <c r="AR142" s="230">
        <f t="shared" si="111"/>
        <v>2.2167935757072685</v>
      </c>
      <c r="AS142" s="92">
        <f t="shared" si="112"/>
        <v>3.6000000000000004E-2</v>
      </c>
      <c r="AT142" s="95">
        <f t="shared" si="113"/>
        <v>4.7519999999999999E-5</v>
      </c>
      <c r="AU142" s="94">
        <f t="shared" si="120"/>
        <v>32.606685943792421</v>
      </c>
      <c r="AV142" s="92">
        <f t="shared" si="121"/>
        <v>445.5</v>
      </c>
      <c r="AW142" s="95">
        <f t="shared" si="122"/>
        <v>93.180039747943255</v>
      </c>
    </row>
    <row r="143" spans="17:49" x14ac:dyDescent="0.25">
      <c r="Q143" s="32">
        <v>136</v>
      </c>
      <c r="R143" s="94">
        <f t="shared" si="96"/>
        <v>45</v>
      </c>
      <c r="S143" s="92">
        <f t="shared" si="97"/>
        <v>9.9733333333333327</v>
      </c>
      <c r="T143" s="92">
        <f t="shared" si="98"/>
        <v>14.4</v>
      </c>
      <c r="U143" s="95">
        <f t="shared" si="99"/>
        <v>31.166666666666664</v>
      </c>
      <c r="V143" s="94">
        <f>IF(Variable_Management!$B$23=3,2,IF((S143*R143/T143)&lt;((T143*(1-(T143/R143)))/(2*Lm*Fsw)),1,2))</f>
        <v>2</v>
      </c>
      <c r="W143" s="92">
        <f t="shared" si="100"/>
        <v>0.67999999999999994</v>
      </c>
      <c r="X143" s="95">
        <f t="shared" si="101"/>
        <v>0.32000000000000006</v>
      </c>
      <c r="Y143" s="94">
        <f t="shared" si="102"/>
        <v>7.4181818181818189</v>
      </c>
      <c r="Z143" s="92">
        <f t="shared" si="77"/>
        <v>34.875757575757575</v>
      </c>
      <c r="AA143" s="92">
        <f t="shared" si="78"/>
        <v>31.240148787018892</v>
      </c>
      <c r="AB143" s="92">
        <v>0</v>
      </c>
      <c r="AC143" s="92">
        <f t="shared" si="103"/>
        <v>5.8556813774104679</v>
      </c>
      <c r="AD143" s="95">
        <f t="shared" si="114"/>
        <v>5.8556813774104679</v>
      </c>
      <c r="AE143" s="94">
        <f t="shared" si="123"/>
        <v>21.193333333333328</v>
      </c>
      <c r="AF143" s="92">
        <f t="shared" si="115"/>
        <v>25.761286641778064</v>
      </c>
      <c r="AG143" s="92">
        <f t="shared" si="104"/>
        <v>4.6455072260789709</v>
      </c>
      <c r="AH143" s="92">
        <f t="shared" si="105"/>
        <v>9.7731026785714281</v>
      </c>
      <c r="AI143" s="95">
        <f t="shared" si="116"/>
        <v>14.418609904650399</v>
      </c>
      <c r="AJ143" s="94">
        <f t="shared" si="117"/>
        <v>9.9733333333333345</v>
      </c>
      <c r="AK143" s="92">
        <f t="shared" si="106"/>
        <v>17.672096842062206</v>
      </c>
      <c r="AL143" s="92">
        <f t="shared" si="107"/>
        <v>2.1861210475665751</v>
      </c>
      <c r="AM143" s="92">
        <f t="shared" si="118"/>
        <v>0.34846000000000005</v>
      </c>
      <c r="AN143" s="211">
        <f t="shared" si="108"/>
        <v>0.59288787878787885</v>
      </c>
      <c r="AO143" s="95">
        <f t="shared" si="119"/>
        <v>3.1274689263544539</v>
      </c>
      <c r="AP143" s="94">
        <f t="shared" si="109"/>
        <v>1.463920344352617</v>
      </c>
      <c r="AQ143" s="230">
        <f t="shared" si="110"/>
        <v>5.8556813774104679</v>
      </c>
      <c r="AR143" s="230">
        <f t="shared" si="111"/>
        <v>2.2167935757072685</v>
      </c>
      <c r="AS143" s="92">
        <f t="shared" si="112"/>
        <v>3.6000000000000004E-2</v>
      </c>
      <c r="AT143" s="95">
        <f t="shared" si="113"/>
        <v>4.7519999999999999E-5</v>
      </c>
      <c r="AU143" s="94">
        <f t="shared" si="120"/>
        <v>32.974203025885679</v>
      </c>
      <c r="AV143" s="92">
        <f t="shared" si="121"/>
        <v>448.79999999999995</v>
      </c>
      <c r="AW143" s="95">
        <f t="shared" si="122"/>
        <v>93.155672757324041</v>
      </c>
    </row>
    <row r="144" spans="17:49" x14ac:dyDescent="0.25">
      <c r="Q144" s="32">
        <v>137</v>
      </c>
      <c r="R144" s="94">
        <f t="shared" si="96"/>
        <v>45</v>
      </c>
      <c r="S144" s="92">
        <f t="shared" si="97"/>
        <v>10.046666666666667</v>
      </c>
      <c r="T144" s="92">
        <f t="shared" si="98"/>
        <v>14.4</v>
      </c>
      <c r="U144" s="95">
        <f t="shared" si="99"/>
        <v>31.395833333333336</v>
      </c>
      <c r="V144" s="94">
        <f>IF(Variable_Management!$B$23=3,2,IF((S144*R144/T144)&lt;((T144*(1-(T144/R144)))/(2*Lm*Fsw)),1,2))</f>
        <v>2</v>
      </c>
      <c r="W144" s="92">
        <f t="shared" si="100"/>
        <v>0.67999999999999994</v>
      </c>
      <c r="X144" s="95">
        <f t="shared" si="101"/>
        <v>0.32000000000000006</v>
      </c>
      <c r="Y144" s="94">
        <f t="shared" si="102"/>
        <v>7.4181818181818189</v>
      </c>
      <c r="Z144" s="92">
        <f t="shared" ref="Z144:Z157" si="124">CHOOSE(V144,Y144,U144+(0.5*Y144))</f>
        <v>35.104924242424246</v>
      </c>
      <c r="AA144" s="92">
        <f t="shared" ref="AA144:AA157" si="125">CHOOSE(V144,Z144*SQRT((W144+X144)/3),SQRT((U144^2)+((Y144^2)/12)))</f>
        <v>31.46878033572975</v>
      </c>
      <c r="AB144" s="92">
        <v>0</v>
      </c>
      <c r="AC144" s="92">
        <f t="shared" si="103"/>
        <v>5.9417048149104685</v>
      </c>
      <c r="AD144" s="95">
        <f t="shared" si="114"/>
        <v>5.9417048149104685</v>
      </c>
      <c r="AE144" s="94">
        <f t="shared" si="123"/>
        <v>21.349166666666665</v>
      </c>
      <c r="AF144" s="92">
        <f t="shared" si="115"/>
        <v>25.949821046714753</v>
      </c>
      <c r="AG144" s="92">
        <f t="shared" si="104"/>
        <v>4.7137524864956397</v>
      </c>
      <c r="AH144" s="92">
        <f t="shared" si="105"/>
        <v>9.8449637276785715</v>
      </c>
      <c r="AI144" s="95">
        <f t="shared" si="116"/>
        <v>14.558716214174211</v>
      </c>
      <c r="AJ144" s="94">
        <f t="shared" si="117"/>
        <v>10.046666666666669</v>
      </c>
      <c r="AK144" s="92">
        <f t="shared" si="106"/>
        <v>17.801430376851513</v>
      </c>
      <c r="AL144" s="92">
        <f t="shared" si="107"/>
        <v>2.2182364642332426</v>
      </c>
      <c r="AM144" s="92">
        <f t="shared" si="118"/>
        <v>0.34846000000000005</v>
      </c>
      <c r="AN144" s="211">
        <f t="shared" si="108"/>
        <v>0.59678371212121228</v>
      </c>
      <c r="AO144" s="95">
        <f t="shared" si="119"/>
        <v>3.1634801763544553</v>
      </c>
      <c r="AP144" s="94">
        <f t="shared" si="109"/>
        <v>1.4854262037276171</v>
      </c>
      <c r="AQ144" s="230">
        <f t="shared" si="110"/>
        <v>5.9417048149104685</v>
      </c>
      <c r="AR144" s="230">
        <f t="shared" si="111"/>
        <v>2.2167935757072685</v>
      </c>
      <c r="AS144" s="92">
        <f t="shared" si="112"/>
        <v>3.6000000000000004E-2</v>
      </c>
      <c r="AT144" s="95">
        <f t="shared" si="113"/>
        <v>4.7519999999999999E-5</v>
      </c>
      <c r="AU144" s="94">
        <f t="shared" si="120"/>
        <v>33.343873319784493</v>
      </c>
      <c r="AV144" s="92">
        <f t="shared" si="121"/>
        <v>452.1</v>
      </c>
      <c r="AW144" s="95">
        <f t="shared" si="122"/>
        <v>93.131260861990654</v>
      </c>
    </row>
    <row r="145" spans="17:49" x14ac:dyDescent="0.25">
      <c r="Q145" s="32">
        <v>138</v>
      </c>
      <c r="R145" s="94">
        <f t="shared" si="96"/>
        <v>45</v>
      </c>
      <c r="S145" s="92">
        <f t="shared" si="97"/>
        <v>10.119999999999999</v>
      </c>
      <c r="T145" s="92">
        <f t="shared" si="98"/>
        <v>14.4</v>
      </c>
      <c r="U145" s="95">
        <f t="shared" si="99"/>
        <v>31.624999999999996</v>
      </c>
      <c r="V145" s="94">
        <f>IF(Variable_Management!$B$23=3,2,IF((S145*R145/T145)&lt;((T145*(1-(T145/R145)))/(2*Lm*Fsw)),1,2))</f>
        <v>2</v>
      </c>
      <c r="W145" s="92">
        <f t="shared" si="100"/>
        <v>0.67999999999999994</v>
      </c>
      <c r="X145" s="95">
        <f t="shared" si="101"/>
        <v>0.32000000000000006</v>
      </c>
      <c r="Y145" s="94">
        <f t="shared" si="102"/>
        <v>7.4181818181818189</v>
      </c>
      <c r="Z145" s="92">
        <f t="shared" si="124"/>
        <v>35.334090909090904</v>
      </c>
      <c r="AA145" s="92">
        <f t="shared" si="125"/>
        <v>31.697419613021605</v>
      </c>
      <c r="AB145" s="92">
        <v>0</v>
      </c>
      <c r="AC145" s="92">
        <f t="shared" si="103"/>
        <v>6.0283584607438003</v>
      </c>
      <c r="AD145" s="95">
        <f t="shared" si="114"/>
        <v>6.0283584607438003</v>
      </c>
      <c r="AE145" s="94">
        <f t="shared" si="123"/>
        <v>21.504999999999995</v>
      </c>
      <c r="AF145" s="92">
        <f t="shared" si="115"/>
        <v>26.138361824802587</v>
      </c>
      <c r="AG145" s="92">
        <f t="shared" si="104"/>
        <v>4.7824977121900805</v>
      </c>
      <c r="AH145" s="92">
        <f t="shared" si="105"/>
        <v>9.9168247767857114</v>
      </c>
      <c r="AI145" s="95">
        <f t="shared" si="116"/>
        <v>14.699322488975792</v>
      </c>
      <c r="AJ145" s="94">
        <f t="shared" si="117"/>
        <v>10.120000000000001</v>
      </c>
      <c r="AK145" s="92">
        <f t="shared" si="106"/>
        <v>17.930768283586438</v>
      </c>
      <c r="AL145" s="92">
        <f t="shared" si="107"/>
        <v>2.2505871586776856</v>
      </c>
      <c r="AM145" s="92">
        <f t="shared" si="118"/>
        <v>0.34846000000000005</v>
      </c>
      <c r="AN145" s="211">
        <f t="shared" si="108"/>
        <v>0.60067954545454538</v>
      </c>
      <c r="AO145" s="95">
        <f t="shared" si="119"/>
        <v>3.1997267041322313</v>
      </c>
      <c r="AP145" s="94">
        <f t="shared" si="109"/>
        <v>1.5070896151859501</v>
      </c>
      <c r="AQ145" s="230">
        <f t="shared" si="110"/>
        <v>6.0283584607438003</v>
      </c>
      <c r="AR145" s="230">
        <f t="shared" si="111"/>
        <v>2.2167935757072685</v>
      </c>
      <c r="AS145" s="92">
        <f t="shared" si="112"/>
        <v>3.6000000000000004E-2</v>
      </c>
      <c r="AT145" s="95">
        <f t="shared" si="113"/>
        <v>4.7519999999999999E-5</v>
      </c>
      <c r="AU145" s="94">
        <f t="shared" si="120"/>
        <v>33.715696825488841</v>
      </c>
      <c r="AV145" s="92">
        <f t="shared" si="121"/>
        <v>455.4</v>
      </c>
      <c r="AW145" s="95">
        <f t="shared" si="122"/>
        <v>93.106805395060093</v>
      </c>
    </row>
    <row r="146" spans="17:49" x14ac:dyDescent="0.25">
      <c r="Q146" s="32">
        <v>139</v>
      </c>
      <c r="R146" s="94">
        <f t="shared" si="96"/>
        <v>45</v>
      </c>
      <c r="S146" s="92">
        <f t="shared" si="97"/>
        <v>10.193333333333333</v>
      </c>
      <c r="T146" s="92">
        <f t="shared" si="98"/>
        <v>14.4</v>
      </c>
      <c r="U146" s="95">
        <f t="shared" si="99"/>
        <v>31.854166666666664</v>
      </c>
      <c r="V146" s="94">
        <f>IF(Variable_Management!$B$23=3,2,IF((S146*R146/T146)&lt;((T146*(1-(T146/R146)))/(2*Lm*Fsw)),1,2))</f>
        <v>2</v>
      </c>
      <c r="W146" s="92">
        <f t="shared" si="100"/>
        <v>0.67999999999999994</v>
      </c>
      <c r="X146" s="95">
        <f t="shared" si="101"/>
        <v>0.32000000000000006</v>
      </c>
      <c r="Y146" s="94">
        <f t="shared" si="102"/>
        <v>7.4181818181818189</v>
      </c>
      <c r="Z146" s="92">
        <f t="shared" si="124"/>
        <v>35.563257575757575</v>
      </c>
      <c r="AA146" s="92">
        <f t="shared" si="125"/>
        <v>31.926066452849224</v>
      </c>
      <c r="AB146" s="92">
        <v>0</v>
      </c>
      <c r="AC146" s="92">
        <f t="shared" si="103"/>
        <v>6.1156423149104677</v>
      </c>
      <c r="AD146" s="95">
        <f t="shared" si="114"/>
        <v>6.1156423149104677</v>
      </c>
      <c r="AE146" s="94">
        <f t="shared" si="123"/>
        <v>21.660833333333329</v>
      </c>
      <c r="AF146" s="92">
        <f t="shared" si="115"/>
        <v>26.326908839117181</v>
      </c>
      <c r="AG146" s="92">
        <f t="shared" si="104"/>
        <v>4.8517429031623047</v>
      </c>
      <c r="AH146" s="92">
        <f t="shared" si="105"/>
        <v>9.9886858258928566</v>
      </c>
      <c r="AI146" s="95">
        <f t="shared" si="116"/>
        <v>14.840428729055162</v>
      </c>
      <c r="AJ146" s="94">
        <f t="shared" si="117"/>
        <v>10.193333333333335</v>
      </c>
      <c r="AK146" s="92">
        <f t="shared" si="106"/>
        <v>18.060110468337626</v>
      </c>
      <c r="AL146" s="92">
        <f t="shared" si="107"/>
        <v>2.2831731308999084</v>
      </c>
      <c r="AM146" s="92">
        <f t="shared" si="118"/>
        <v>0.34846000000000005</v>
      </c>
      <c r="AN146" s="211">
        <f t="shared" si="108"/>
        <v>0.60457537878787881</v>
      </c>
      <c r="AO146" s="95">
        <f t="shared" si="119"/>
        <v>3.2362085096877875</v>
      </c>
      <c r="AP146" s="94">
        <f t="shared" si="109"/>
        <v>1.5289105787276169</v>
      </c>
      <c r="AQ146" s="230">
        <f t="shared" si="110"/>
        <v>6.1156423149104677</v>
      </c>
      <c r="AR146" s="230">
        <f t="shared" si="111"/>
        <v>2.2167935757072685</v>
      </c>
      <c r="AS146" s="92">
        <f t="shared" si="112"/>
        <v>3.6000000000000004E-2</v>
      </c>
      <c r="AT146" s="95">
        <f t="shared" si="113"/>
        <v>4.7519999999999999E-5</v>
      </c>
      <c r="AU146" s="94">
        <f t="shared" si="120"/>
        <v>34.089673542998767</v>
      </c>
      <c r="AV146" s="92">
        <f t="shared" si="121"/>
        <v>458.7</v>
      </c>
      <c r="AW146" s="95">
        <f t="shared" si="122"/>
        <v>93.082307651070479</v>
      </c>
    </row>
    <row r="147" spans="17:49" x14ac:dyDescent="0.25">
      <c r="Q147" s="32">
        <v>140</v>
      </c>
      <c r="R147" s="94">
        <f t="shared" si="96"/>
        <v>45</v>
      </c>
      <c r="S147" s="92">
        <f t="shared" si="97"/>
        <v>10.266666666666667</v>
      </c>
      <c r="T147" s="92">
        <f t="shared" si="98"/>
        <v>14.4</v>
      </c>
      <c r="U147" s="95">
        <f t="shared" si="99"/>
        <v>32.083333333333336</v>
      </c>
      <c r="V147" s="94">
        <f>IF(Variable_Management!$B$23=3,2,IF((S147*R147/T147)&lt;((T147*(1-(T147/R147)))/(2*Lm*Fsw)),1,2))</f>
        <v>2</v>
      </c>
      <c r="W147" s="92">
        <f t="shared" si="100"/>
        <v>0.67999999999999994</v>
      </c>
      <c r="X147" s="95">
        <f t="shared" si="101"/>
        <v>0.32000000000000006</v>
      </c>
      <c r="Y147" s="94">
        <f t="shared" si="102"/>
        <v>7.4181818181818189</v>
      </c>
      <c r="Z147" s="92">
        <f t="shared" si="124"/>
        <v>35.792424242424246</v>
      </c>
      <c r="AA147" s="92">
        <f t="shared" si="125"/>
        <v>32.154720693884819</v>
      </c>
      <c r="AB147" s="92">
        <v>0</v>
      </c>
      <c r="AC147" s="92">
        <f t="shared" si="103"/>
        <v>6.2035563774104681</v>
      </c>
      <c r="AD147" s="95">
        <f t="shared" si="114"/>
        <v>6.2035563774104681</v>
      </c>
      <c r="AE147" s="94">
        <f t="shared" si="123"/>
        <v>21.816666666666666</v>
      </c>
      <c r="AF147" s="92">
        <f t="shared" si="115"/>
        <v>26.515461956624222</v>
      </c>
      <c r="AG147" s="92">
        <f t="shared" si="104"/>
        <v>4.9214880594123054</v>
      </c>
      <c r="AH147" s="92">
        <f t="shared" si="105"/>
        <v>10.060546875</v>
      </c>
      <c r="AI147" s="95">
        <f t="shared" si="116"/>
        <v>14.982034934412304</v>
      </c>
      <c r="AJ147" s="94">
        <f t="shared" si="117"/>
        <v>10.266666666666669</v>
      </c>
      <c r="AK147" s="92">
        <f t="shared" si="106"/>
        <v>18.189456839844297</v>
      </c>
      <c r="AL147" s="92">
        <f t="shared" si="107"/>
        <v>2.3159943808999093</v>
      </c>
      <c r="AM147" s="92">
        <f t="shared" si="118"/>
        <v>0.34846000000000005</v>
      </c>
      <c r="AN147" s="211">
        <f t="shared" si="108"/>
        <v>0.60847121212121225</v>
      </c>
      <c r="AO147" s="95">
        <f t="shared" si="119"/>
        <v>3.2729255930211218</v>
      </c>
      <c r="AP147" s="94">
        <f t="shared" si="109"/>
        <v>1.550889094352617</v>
      </c>
      <c r="AQ147" s="230">
        <f t="shared" si="110"/>
        <v>6.2035563774104681</v>
      </c>
      <c r="AR147" s="230">
        <f t="shared" si="111"/>
        <v>2.2167935757072685</v>
      </c>
      <c r="AS147" s="92">
        <f t="shared" si="112"/>
        <v>3.6000000000000004E-2</v>
      </c>
      <c r="AT147" s="95">
        <f t="shared" si="113"/>
        <v>4.7519999999999999E-5</v>
      </c>
      <c r="AU147" s="94">
        <f t="shared" si="120"/>
        <v>34.465803472314249</v>
      </c>
      <c r="AV147" s="92">
        <f t="shared" si="121"/>
        <v>462.00000000000006</v>
      </c>
      <c r="AW147" s="95">
        <f t="shared" si="122"/>
        <v>93.057768887351727</v>
      </c>
    </row>
    <row r="148" spans="17:49" x14ac:dyDescent="0.25">
      <c r="Q148" s="32">
        <v>141</v>
      </c>
      <c r="R148" s="94">
        <f t="shared" si="96"/>
        <v>45</v>
      </c>
      <c r="S148" s="92">
        <f t="shared" si="97"/>
        <v>10.34</v>
      </c>
      <c r="T148" s="92">
        <f t="shared" si="98"/>
        <v>14.4</v>
      </c>
      <c r="U148" s="95">
        <f t="shared" si="99"/>
        <v>32.3125</v>
      </c>
      <c r="V148" s="94">
        <f>IF(Variable_Management!$B$23=3,2,IF((S148*R148/T148)&lt;((T148*(1-(T148/R148)))/(2*Lm*Fsw)),1,2))</f>
        <v>2</v>
      </c>
      <c r="W148" s="92">
        <f t="shared" si="100"/>
        <v>0.67999999999999994</v>
      </c>
      <c r="X148" s="95">
        <f t="shared" si="101"/>
        <v>0.32000000000000006</v>
      </c>
      <c r="Y148" s="94">
        <f t="shared" si="102"/>
        <v>7.4181818181818189</v>
      </c>
      <c r="Z148" s="92">
        <f t="shared" si="124"/>
        <v>36.021590909090911</v>
      </c>
      <c r="AA148" s="92">
        <f t="shared" si="125"/>
        <v>32.383382179351912</v>
      </c>
      <c r="AB148" s="92">
        <v>0</v>
      </c>
      <c r="AC148" s="92">
        <f t="shared" si="103"/>
        <v>6.2921006482438022</v>
      </c>
      <c r="AD148" s="95">
        <f t="shared" si="114"/>
        <v>6.2921006482438022</v>
      </c>
      <c r="AE148" s="94">
        <f t="shared" si="123"/>
        <v>21.972499999999997</v>
      </c>
      <c r="AF148" s="92">
        <f t="shared" si="115"/>
        <v>26.704021048042513</v>
      </c>
      <c r="AG148" s="92">
        <f t="shared" si="104"/>
        <v>4.9917331809400833</v>
      </c>
      <c r="AH148" s="92">
        <f t="shared" si="105"/>
        <v>10.132407924107143</v>
      </c>
      <c r="AI148" s="95">
        <f t="shared" si="116"/>
        <v>15.124141105047226</v>
      </c>
      <c r="AJ148" s="94">
        <f t="shared" si="117"/>
        <v>10.340000000000002</v>
      </c>
      <c r="AK148" s="92">
        <f t="shared" si="106"/>
        <v>18.318807309420272</v>
      </c>
      <c r="AL148" s="92">
        <f t="shared" si="107"/>
        <v>2.3490509086776874</v>
      </c>
      <c r="AM148" s="92">
        <f t="shared" si="118"/>
        <v>0.34846000000000005</v>
      </c>
      <c r="AN148" s="211">
        <f t="shared" si="108"/>
        <v>0.61236704545454557</v>
      </c>
      <c r="AO148" s="95">
        <f t="shared" si="119"/>
        <v>3.309877954132233</v>
      </c>
      <c r="AP148" s="94">
        <f t="shared" si="109"/>
        <v>1.5730251620609506</v>
      </c>
      <c r="AQ148" s="230">
        <f t="shared" si="110"/>
        <v>6.2921006482438022</v>
      </c>
      <c r="AR148" s="230">
        <f t="shared" si="111"/>
        <v>2.2167935757072685</v>
      </c>
      <c r="AS148" s="92">
        <f t="shared" si="112"/>
        <v>3.6000000000000004E-2</v>
      </c>
      <c r="AT148" s="95">
        <f t="shared" si="113"/>
        <v>4.7519999999999999E-5</v>
      </c>
      <c r="AU148" s="94">
        <f t="shared" si="120"/>
        <v>34.844086613435287</v>
      </c>
      <c r="AV148" s="92">
        <f t="shared" si="121"/>
        <v>465.3</v>
      </c>
      <c r="AW148" s="95">
        <f t="shared" si="122"/>
        <v>93.033190325337884</v>
      </c>
    </row>
    <row r="149" spans="17:49" x14ac:dyDescent="0.25">
      <c r="Q149" s="32">
        <v>142</v>
      </c>
      <c r="R149" s="94">
        <f t="shared" si="96"/>
        <v>45</v>
      </c>
      <c r="S149" s="92">
        <f t="shared" si="97"/>
        <v>10.413333333333334</v>
      </c>
      <c r="T149" s="92">
        <f t="shared" si="98"/>
        <v>14.4</v>
      </c>
      <c r="U149" s="95">
        <f t="shared" si="99"/>
        <v>32.541666666666664</v>
      </c>
      <c r="V149" s="94">
        <f>IF(Variable_Management!$B$23=3,2,IF((S149*R149/T149)&lt;((T149*(1-(T149/R149)))/(2*Lm*Fsw)),1,2))</f>
        <v>2</v>
      </c>
      <c r="W149" s="92">
        <f t="shared" si="100"/>
        <v>0.67999999999999994</v>
      </c>
      <c r="X149" s="95">
        <f t="shared" si="101"/>
        <v>0.32000000000000006</v>
      </c>
      <c r="Y149" s="94">
        <f t="shared" si="102"/>
        <v>7.4181818181818189</v>
      </c>
      <c r="Z149" s="92">
        <f t="shared" si="124"/>
        <v>36.250757575757575</v>
      </c>
      <c r="AA149" s="92">
        <f t="shared" si="125"/>
        <v>32.612050756866104</v>
      </c>
      <c r="AB149" s="92">
        <v>0</v>
      </c>
      <c r="AC149" s="92">
        <f t="shared" si="103"/>
        <v>6.3812751274104658</v>
      </c>
      <c r="AD149" s="95">
        <f t="shared" si="114"/>
        <v>6.3812751274104658</v>
      </c>
      <c r="AE149" s="94">
        <f t="shared" si="123"/>
        <v>22.12833333333333</v>
      </c>
      <c r="AF149" s="92">
        <f t="shared" si="115"/>
        <v>26.892585987712668</v>
      </c>
      <c r="AG149" s="92">
        <f t="shared" si="104"/>
        <v>5.0624782677456377</v>
      </c>
      <c r="AH149" s="92">
        <f t="shared" si="105"/>
        <v>10.204268973214285</v>
      </c>
      <c r="AI149" s="95">
        <f t="shared" si="116"/>
        <v>15.266747240959923</v>
      </c>
      <c r="AJ149" s="94">
        <f t="shared" si="117"/>
        <v>10.413333333333334</v>
      </c>
      <c r="AK149" s="92">
        <f t="shared" si="106"/>
        <v>18.448161790863928</v>
      </c>
      <c r="AL149" s="92">
        <f t="shared" si="107"/>
        <v>2.3823427142332427</v>
      </c>
      <c r="AM149" s="92">
        <f t="shared" si="118"/>
        <v>0.34846000000000005</v>
      </c>
      <c r="AN149" s="211">
        <f t="shared" si="108"/>
        <v>0.61626287878787878</v>
      </c>
      <c r="AO149" s="95">
        <f t="shared" si="119"/>
        <v>3.3470655930211217</v>
      </c>
      <c r="AP149" s="94">
        <f t="shared" si="109"/>
        <v>1.5953187818526164</v>
      </c>
      <c r="AQ149" s="230">
        <f t="shared" si="110"/>
        <v>6.3812751274104658</v>
      </c>
      <c r="AR149" s="230">
        <f t="shared" si="111"/>
        <v>2.2167935757072685</v>
      </c>
      <c r="AS149" s="92">
        <f t="shared" si="112"/>
        <v>3.6000000000000004E-2</v>
      </c>
      <c r="AT149" s="95">
        <f t="shared" si="113"/>
        <v>4.7519999999999999E-5</v>
      </c>
      <c r="AU149" s="94">
        <f t="shared" si="120"/>
        <v>35.224522966361867</v>
      </c>
      <c r="AV149" s="92">
        <f t="shared" si="121"/>
        <v>468.6</v>
      </c>
      <c r="AW149" s="95">
        <f t="shared" si="122"/>
        <v>93.008573151824606</v>
      </c>
    </row>
    <row r="150" spans="17:49" x14ac:dyDescent="0.25">
      <c r="Q150" s="32">
        <v>143</v>
      </c>
      <c r="R150" s="94">
        <f t="shared" si="96"/>
        <v>45</v>
      </c>
      <c r="S150" s="92">
        <f t="shared" si="97"/>
        <v>10.486666666666666</v>
      </c>
      <c r="T150" s="92">
        <f t="shared" si="98"/>
        <v>14.4</v>
      </c>
      <c r="U150" s="95">
        <f t="shared" si="99"/>
        <v>32.770833333333329</v>
      </c>
      <c r="V150" s="94">
        <f>IF(Variable_Management!$B$23=3,2,IF((S150*R150/T150)&lt;((T150*(1-(T150/R150)))/(2*Lm*Fsw)),1,2))</f>
        <v>2</v>
      </c>
      <c r="W150" s="92">
        <f t="shared" si="100"/>
        <v>0.67999999999999994</v>
      </c>
      <c r="X150" s="95">
        <f t="shared" si="101"/>
        <v>0.32000000000000006</v>
      </c>
      <c r="Y150" s="94">
        <f t="shared" si="102"/>
        <v>7.4181818181818189</v>
      </c>
      <c r="Z150" s="92">
        <f t="shared" si="124"/>
        <v>36.479924242424239</v>
      </c>
      <c r="AA150" s="92">
        <f t="shared" si="125"/>
        <v>32.840726278282546</v>
      </c>
      <c r="AB150" s="92">
        <v>0</v>
      </c>
      <c r="AC150" s="92">
        <f t="shared" si="103"/>
        <v>6.4710798149104667</v>
      </c>
      <c r="AD150" s="95">
        <f t="shared" si="114"/>
        <v>6.4710798149104667</v>
      </c>
      <c r="AE150" s="94">
        <f t="shared" si="123"/>
        <v>22.28416666666666</v>
      </c>
      <c r="AF150" s="92">
        <f t="shared" si="115"/>
        <v>27.0811566534713</v>
      </c>
      <c r="AG150" s="92">
        <f t="shared" si="104"/>
        <v>5.1337233198289702</v>
      </c>
      <c r="AH150" s="92">
        <f t="shared" si="105"/>
        <v>10.276130022321427</v>
      </c>
      <c r="AI150" s="95">
        <f t="shared" si="116"/>
        <v>15.409853342150397</v>
      </c>
      <c r="AJ150" s="94">
        <f t="shared" si="117"/>
        <v>10.486666666666666</v>
      </c>
      <c r="AK150" s="92">
        <f t="shared" si="106"/>
        <v>18.577520200371872</v>
      </c>
      <c r="AL150" s="92">
        <f t="shared" si="107"/>
        <v>2.4158697975665748</v>
      </c>
      <c r="AM150" s="92">
        <f t="shared" si="118"/>
        <v>0.34846000000000005</v>
      </c>
      <c r="AN150" s="211">
        <f t="shared" si="108"/>
        <v>0.6201587121212121</v>
      </c>
      <c r="AO150" s="95">
        <f t="shared" si="119"/>
        <v>3.3844885096877872</v>
      </c>
      <c r="AP150" s="94">
        <f t="shared" si="109"/>
        <v>1.6177699537276167</v>
      </c>
      <c r="AQ150" s="230">
        <f t="shared" si="110"/>
        <v>6.4710798149104667</v>
      </c>
      <c r="AR150" s="230">
        <f t="shared" si="111"/>
        <v>2.2167935757072685</v>
      </c>
      <c r="AS150" s="92">
        <f t="shared" si="112"/>
        <v>3.6000000000000004E-2</v>
      </c>
      <c r="AT150" s="95">
        <f t="shared" si="113"/>
        <v>4.7519999999999999E-5</v>
      </c>
      <c r="AU150" s="94">
        <f t="shared" si="120"/>
        <v>35.607112531094003</v>
      </c>
      <c r="AV150" s="92">
        <f t="shared" si="121"/>
        <v>471.9</v>
      </c>
      <c r="AW150" s="95">
        <f t="shared" si="122"/>
        <v>92.983918520173958</v>
      </c>
    </row>
    <row r="151" spans="17:49" x14ac:dyDescent="0.25">
      <c r="Q151" s="32">
        <v>144</v>
      </c>
      <c r="R151" s="94">
        <f t="shared" si="96"/>
        <v>45</v>
      </c>
      <c r="S151" s="92">
        <f t="shared" si="97"/>
        <v>10.56</v>
      </c>
      <c r="T151" s="92">
        <f t="shared" si="98"/>
        <v>14.4</v>
      </c>
      <c r="U151" s="95">
        <f t="shared" si="99"/>
        <v>33</v>
      </c>
      <c r="V151" s="94">
        <f>IF(Variable_Management!$B$23=3,2,IF((S151*R151/T151)&lt;((T151*(1-(T151/R151)))/(2*Lm*Fsw)),1,2))</f>
        <v>2</v>
      </c>
      <c r="W151" s="92">
        <f t="shared" si="100"/>
        <v>0.67999999999999994</v>
      </c>
      <c r="X151" s="95">
        <f t="shared" si="101"/>
        <v>0.32000000000000006</v>
      </c>
      <c r="Y151" s="94">
        <f t="shared" si="102"/>
        <v>7.4181818181818189</v>
      </c>
      <c r="Z151" s="92">
        <f t="shared" si="124"/>
        <v>36.709090909090911</v>
      </c>
      <c r="AA151" s="92">
        <f t="shared" si="125"/>
        <v>33.069408599549625</v>
      </c>
      <c r="AB151" s="92">
        <v>0</v>
      </c>
      <c r="AC151" s="92">
        <f t="shared" si="103"/>
        <v>6.5615147107437997</v>
      </c>
      <c r="AD151" s="95">
        <f t="shared" si="114"/>
        <v>6.5615147107437997</v>
      </c>
      <c r="AE151" s="94">
        <f t="shared" si="123"/>
        <v>22.439999999999998</v>
      </c>
      <c r="AF151" s="92">
        <f t="shared" si="115"/>
        <v>27.269732926530423</v>
      </c>
      <c r="AG151" s="92">
        <f t="shared" si="104"/>
        <v>5.2054683371900827</v>
      </c>
      <c r="AH151" s="92">
        <f t="shared" si="105"/>
        <v>10.347991071428572</v>
      </c>
      <c r="AI151" s="95">
        <f t="shared" si="116"/>
        <v>15.553459408618654</v>
      </c>
      <c r="AJ151" s="94">
        <f t="shared" si="117"/>
        <v>10.560000000000002</v>
      </c>
      <c r="AK151" s="92">
        <f t="shared" si="106"/>
        <v>18.706882456456221</v>
      </c>
      <c r="AL151" s="92">
        <f t="shared" si="107"/>
        <v>2.4496321586776868</v>
      </c>
      <c r="AM151" s="92">
        <f t="shared" si="118"/>
        <v>0.34846000000000005</v>
      </c>
      <c r="AN151" s="211">
        <f t="shared" si="108"/>
        <v>0.62405454545454553</v>
      </c>
      <c r="AO151" s="95">
        <f t="shared" si="119"/>
        <v>3.4221467041322327</v>
      </c>
      <c r="AP151" s="94">
        <f t="shared" si="109"/>
        <v>1.6403786776859499</v>
      </c>
      <c r="AQ151" s="230">
        <f t="shared" si="110"/>
        <v>6.5615147107437997</v>
      </c>
      <c r="AR151" s="230">
        <f t="shared" si="111"/>
        <v>2.2167935757072685</v>
      </c>
      <c r="AS151" s="92">
        <f t="shared" si="112"/>
        <v>3.6000000000000004E-2</v>
      </c>
      <c r="AT151" s="95">
        <f t="shared" si="113"/>
        <v>4.7519999999999999E-5</v>
      </c>
      <c r="AU151" s="94">
        <f t="shared" si="120"/>
        <v>35.99185530763171</v>
      </c>
      <c r="AV151" s="92">
        <f t="shared" si="121"/>
        <v>475.20000000000005</v>
      </c>
      <c r="AW151" s="95">
        <f t="shared" si="122"/>
        <v>92.959227551469496</v>
      </c>
    </row>
    <row r="152" spans="17:49" x14ac:dyDescent="0.25">
      <c r="Q152" s="32">
        <v>145</v>
      </c>
      <c r="R152" s="94">
        <f t="shared" si="96"/>
        <v>45</v>
      </c>
      <c r="S152" s="92">
        <f t="shared" si="97"/>
        <v>10.633333333333333</v>
      </c>
      <c r="T152" s="92">
        <f t="shared" si="98"/>
        <v>14.4</v>
      </c>
      <c r="U152" s="95">
        <f t="shared" si="99"/>
        <v>33.229166666666664</v>
      </c>
      <c r="V152" s="94">
        <f>IF(Variable_Management!$B$23=3,2,IF((S152*R152/T152)&lt;((T152*(1-(T152/R152)))/(2*Lm*Fsw)),1,2))</f>
        <v>2</v>
      </c>
      <c r="W152" s="92">
        <f t="shared" si="100"/>
        <v>0.67999999999999994</v>
      </c>
      <c r="X152" s="95">
        <f t="shared" si="101"/>
        <v>0.32000000000000006</v>
      </c>
      <c r="Y152" s="94">
        <f t="shared" si="102"/>
        <v>7.4181818181818189</v>
      </c>
      <c r="Z152" s="92">
        <f t="shared" si="124"/>
        <v>36.938257575757575</v>
      </c>
      <c r="AA152" s="92">
        <f t="shared" si="125"/>
        <v>33.298097580568736</v>
      </c>
      <c r="AB152" s="92">
        <v>0</v>
      </c>
      <c r="AC152" s="92">
        <f t="shared" si="103"/>
        <v>6.6525798149104647</v>
      </c>
      <c r="AD152" s="95">
        <f t="shared" si="114"/>
        <v>6.6525798149104647</v>
      </c>
      <c r="AE152" s="94">
        <f t="shared" si="123"/>
        <v>22.595833333333328</v>
      </c>
      <c r="AF152" s="92">
        <f t="shared" si="115"/>
        <v>27.458314691361757</v>
      </c>
      <c r="AG152" s="92">
        <f t="shared" si="104"/>
        <v>5.2777133198289707</v>
      </c>
      <c r="AH152" s="92">
        <f t="shared" si="105"/>
        <v>10.419852120535714</v>
      </c>
      <c r="AI152" s="95">
        <f t="shared" si="116"/>
        <v>15.697565440364684</v>
      </c>
      <c r="AJ152" s="94">
        <f t="shared" si="117"/>
        <v>10.633333333333335</v>
      </c>
      <c r="AK152" s="92">
        <f t="shared" si="106"/>
        <v>18.836248479865226</v>
      </c>
      <c r="AL152" s="92">
        <f t="shared" si="107"/>
        <v>2.4836297975665755</v>
      </c>
      <c r="AM152" s="92">
        <f t="shared" si="118"/>
        <v>0.34846000000000005</v>
      </c>
      <c r="AN152" s="211">
        <f t="shared" si="108"/>
        <v>0.62795037878787885</v>
      </c>
      <c r="AO152" s="95">
        <f t="shared" si="119"/>
        <v>3.4600401763544548</v>
      </c>
      <c r="AP152" s="94">
        <f t="shared" si="109"/>
        <v>1.6631449537276162</v>
      </c>
      <c r="AQ152" s="230">
        <f t="shared" si="110"/>
        <v>6.6525798149104647</v>
      </c>
      <c r="AR152" s="230">
        <f t="shared" si="111"/>
        <v>2.2167935757072685</v>
      </c>
      <c r="AS152" s="92">
        <f t="shared" si="112"/>
        <v>3.6000000000000004E-2</v>
      </c>
      <c r="AT152" s="95">
        <f t="shared" si="113"/>
        <v>4.7519999999999999E-5</v>
      </c>
      <c r="AU152" s="94">
        <f t="shared" si="120"/>
        <v>36.378751295974958</v>
      </c>
      <c r="AV152" s="92">
        <f t="shared" si="121"/>
        <v>478.5</v>
      </c>
      <c r="AW152" s="95">
        <f t="shared" si="122"/>
        <v>92.934501335623594</v>
      </c>
    </row>
    <row r="153" spans="17:49" x14ac:dyDescent="0.25">
      <c r="Q153" s="32">
        <v>146</v>
      </c>
      <c r="R153" s="94">
        <f t="shared" si="96"/>
        <v>45</v>
      </c>
      <c r="S153" s="92">
        <f t="shared" si="97"/>
        <v>10.706666666666667</v>
      </c>
      <c r="T153" s="92">
        <f t="shared" si="98"/>
        <v>14.4</v>
      </c>
      <c r="U153" s="95">
        <f t="shared" si="99"/>
        <v>33.458333333333336</v>
      </c>
      <c r="V153" s="94">
        <f>IF(Variable_Management!$B$23=3,2,IF((S153*R153/T153)&lt;((T153*(1-(T153/R153)))/(2*Lm*Fsw)),1,2))</f>
        <v>2</v>
      </c>
      <c r="W153" s="92">
        <f t="shared" si="100"/>
        <v>0.67999999999999994</v>
      </c>
      <c r="X153" s="95">
        <f t="shared" si="101"/>
        <v>0.32000000000000006</v>
      </c>
      <c r="Y153" s="94">
        <f t="shared" si="102"/>
        <v>7.4181818181818189</v>
      </c>
      <c r="Z153" s="92">
        <f t="shared" si="124"/>
        <v>37.167424242424246</v>
      </c>
      <c r="AA153" s="92">
        <f t="shared" si="125"/>
        <v>33.526793085059765</v>
      </c>
      <c r="AB153" s="92">
        <v>0</v>
      </c>
      <c r="AC153" s="92">
        <f t="shared" si="103"/>
        <v>6.7442751274104671</v>
      </c>
      <c r="AD153" s="95">
        <f t="shared" si="114"/>
        <v>6.7442751274104671</v>
      </c>
      <c r="AE153" s="94">
        <f t="shared" si="123"/>
        <v>22.751666666666665</v>
      </c>
      <c r="AF153" s="92">
        <f t="shared" si="115"/>
        <v>27.646901835585844</v>
      </c>
      <c r="AG153" s="92">
        <f t="shared" si="104"/>
        <v>5.3504582677456396</v>
      </c>
      <c r="AH153" s="92">
        <f t="shared" si="105"/>
        <v>10.491713169642857</v>
      </c>
      <c r="AI153" s="95">
        <f t="shared" si="116"/>
        <v>15.842171437388497</v>
      </c>
      <c r="AJ153" s="94">
        <f t="shared" si="117"/>
        <v>10.706666666666669</v>
      </c>
      <c r="AK153" s="92">
        <f t="shared" si="106"/>
        <v>18.965618193507211</v>
      </c>
      <c r="AL153" s="92">
        <f t="shared" si="107"/>
        <v>2.5178627142332424</v>
      </c>
      <c r="AM153" s="92">
        <f t="shared" si="118"/>
        <v>0.34846000000000005</v>
      </c>
      <c r="AN153" s="211">
        <f t="shared" si="108"/>
        <v>0.63184621212121228</v>
      </c>
      <c r="AO153" s="95">
        <f t="shared" si="119"/>
        <v>3.4981689263544551</v>
      </c>
      <c r="AP153" s="94">
        <f t="shared" si="109"/>
        <v>1.6860687818526168</v>
      </c>
      <c r="AQ153" s="230">
        <f t="shared" si="110"/>
        <v>6.7442751274104671</v>
      </c>
      <c r="AR153" s="230">
        <f t="shared" si="111"/>
        <v>2.2167935757072685</v>
      </c>
      <c r="AS153" s="92">
        <f t="shared" si="112"/>
        <v>3.6000000000000004E-2</v>
      </c>
      <c r="AT153" s="95">
        <f t="shared" si="113"/>
        <v>4.7519999999999999E-5</v>
      </c>
      <c r="AU153" s="94">
        <f t="shared" si="120"/>
        <v>36.767800496123776</v>
      </c>
      <c r="AV153" s="92">
        <f t="shared" si="121"/>
        <v>481.8</v>
      </c>
      <c r="AW153" s="95">
        <f t="shared" si="122"/>
        <v>92.909740932439817</v>
      </c>
    </row>
    <row r="154" spans="17:49" x14ac:dyDescent="0.25">
      <c r="Q154" s="32">
        <v>147</v>
      </c>
      <c r="R154" s="94">
        <f t="shared" si="96"/>
        <v>45</v>
      </c>
      <c r="S154" s="92">
        <f t="shared" si="97"/>
        <v>10.78</v>
      </c>
      <c r="T154" s="92">
        <f t="shared" si="98"/>
        <v>14.4</v>
      </c>
      <c r="U154" s="95">
        <f t="shared" si="99"/>
        <v>33.6875</v>
      </c>
      <c r="V154" s="94">
        <f>IF(Variable_Management!$B$23=3,2,IF((S154*R154/T154)&lt;((T154*(1-(T154/R154)))/(2*Lm*Fsw)),1,2))</f>
        <v>2</v>
      </c>
      <c r="W154" s="92">
        <f t="shared" si="100"/>
        <v>0.67999999999999994</v>
      </c>
      <c r="X154" s="95">
        <f t="shared" si="101"/>
        <v>0.32000000000000006</v>
      </c>
      <c r="Y154" s="94">
        <f t="shared" si="102"/>
        <v>7.4181818181818189</v>
      </c>
      <c r="Z154" s="92">
        <f t="shared" si="124"/>
        <v>37.396590909090911</v>
      </c>
      <c r="AA154" s="92">
        <f t="shared" si="125"/>
        <v>33.755494980431955</v>
      </c>
      <c r="AB154" s="92">
        <v>0</v>
      </c>
      <c r="AC154" s="92">
        <f t="shared" si="103"/>
        <v>6.8366006482438015</v>
      </c>
      <c r="AD154" s="95">
        <f t="shared" si="114"/>
        <v>6.8366006482438015</v>
      </c>
      <c r="AE154" s="94">
        <f t="shared" si="123"/>
        <v>22.907499999999999</v>
      </c>
      <c r="AF154" s="92">
        <f t="shared" si="115"/>
        <v>27.83549424986554</v>
      </c>
      <c r="AG154" s="92">
        <f t="shared" si="104"/>
        <v>5.4237031809400831</v>
      </c>
      <c r="AH154" s="92">
        <f t="shared" si="105"/>
        <v>10.56357421875</v>
      </c>
      <c r="AI154" s="95">
        <f t="shared" si="116"/>
        <v>15.987277399690083</v>
      </c>
      <c r="AJ154" s="94">
        <f t="shared" si="117"/>
        <v>10.780000000000003</v>
      </c>
      <c r="AK154" s="92">
        <f t="shared" si="106"/>
        <v>19.094991522377523</v>
      </c>
      <c r="AL154" s="92">
        <f t="shared" si="107"/>
        <v>2.5523309086776864</v>
      </c>
      <c r="AM154" s="92">
        <f t="shared" si="118"/>
        <v>0.34846000000000005</v>
      </c>
      <c r="AN154" s="211">
        <f t="shared" si="108"/>
        <v>0.63574204545454549</v>
      </c>
      <c r="AO154" s="95">
        <f t="shared" si="119"/>
        <v>3.5365329541322321</v>
      </c>
      <c r="AP154" s="94">
        <f t="shared" si="109"/>
        <v>1.7091501620609504</v>
      </c>
      <c r="AQ154" s="230">
        <f t="shared" si="110"/>
        <v>6.8366006482438015</v>
      </c>
      <c r="AR154" s="230">
        <f t="shared" si="111"/>
        <v>2.2167935757072685</v>
      </c>
      <c r="AS154" s="92">
        <f t="shared" si="112"/>
        <v>3.6000000000000004E-2</v>
      </c>
      <c r="AT154" s="95">
        <f t="shared" si="113"/>
        <v>4.7519999999999999E-5</v>
      </c>
      <c r="AU154" s="94">
        <f t="shared" si="120"/>
        <v>37.159002908078136</v>
      </c>
      <c r="AV154" s="92">
        <f t="shared" si="121"/>
        <v>485.09999999999997</v>
      </c>
      <c r="AW154" s="95">
        <f t="shared" si="122"/>
        <v>92.884947372631814</v>
      </c>
    </row>
    <row r="155" spans="17:49" x14ac:dyDescent="0.25">
      <c r="Q155" s="32">
        <v>148</v>
      </c>
      <c r="R155" s="94">
        <f t="shared" si="96"/>
        <v>45</v>
      </c>
      <c r="S155" s="92">
        <f t="shared" si="97"/>
        <v>10.853333333333333</v>
      </c>
      <c r="T155" s="92">
        <f t="shared" si="98"/>
        <v>14.4</v>
      </c>
      <c r="U155" s="95">
        <f t="shared" si="99"/>
        <v>33.916666666666671</v>
      </c>
      <c r="V155" s="94">
        <f>IF(Variable_Management!$B$23=3,2,IF((S155*R155/T155)&lt;((T155*(1-(T155/R155)))/(2*Lm*Fsw)),1,2))</f>
        <v>2</v>
      </c>
      <c r="W155" s="92">
        <f t="shared" si="100"/>
        <v>0.67999999999999994</v>
      </c>
      <c r="X155" s="95">
        <f t="shared" si="101"/>
        <v>0.32000000000000006</v>
      </c>
      <c r="Y155" s="94">
        <f t="shared" si="102"/>
        <v>7.4181818181818189</v>
      </c>
      <c r="Z155" s="92">
        <f t="shared" si="124"/>
        <v>37.625757575757582</v>
      </c>
      <c r="AA155" s="92">
        <f t="shared" si="125"/>
        <v>33.984203137660074</v>
      </c>
      <c r="AB155" s="92">
        <v>0</v>
      </c>
      <c r="AC155" s="92">
        <f t="shared" si="103"/>
        <v>6.9295563774104698</v>
      </c>
      <c r="AD155" s="95">
        <f t="shared" si="114"/>
        <v>6.9295563774104698</v>
      </c>
      <c r="AE155" s="94">
        <f t="shared" si="123"/>
        <v>23.063333333333336</v>
      </c>
      <c r="AF155" s="92">
        <f t="shared" si="115"/>
        <v>28.024091827803925</v>
      </c>
      <c r="AG155" s="92">
        <f t="shared" si="104"/>
        <v>5.4974480594123074</v>
      </c>
      <c r="AH155" s="92">
        <f t="shared" si="105"/>
        <v>10.635435267857146</v>
      </c>
      <c r="AI155" s="95">
        <f t="shared" si="116"/>
        <v>16.132883327269454</v>
      </c>
      <c r="AJ155" s="94">
        <f t="shared" si="117"/>
        <v>10.853333333333337</v>
      </c>
      <c r="AK155" s="92">
        <f t="shared" si="106"/>
        <v>19.224368393488472</v>
      </c>
      <c r="AL155" s="92">
        <f t="shared" si="107"/>
        <v>2.5870343808999094</v>
      </c>
      <c r="AM155" s="92">
        <f t="shared" si="118"/>
        <v>0.34846000000000005</v>
      </c>
      <c r="AN155" s="211">
        <f t="shared" si="108"/>
        <v>0.63963787878787892</v>
      </c>
      <c r="AO155" s="95">
        <f t="shared" si="119"/>
        <v>3.5751322596877886</v>
      </c>
      <c r="AP155" s="94">
        <f t="shared" si="109"/>
        <v>1.7323890943526175</v>
      </c>
      <c r="AQ155" s="230">
        <f t="shared" si="110"/>
        <v>6.9295563774104698</v>
      </c>
      <c r="AR155" s="230">
        <f t="shared" si="111"/>
        <v>2.2167935757072685</v>
      </c>
      <c r="AS155" s="92">
        <f t="shared" si="112"/>
        <v>3.6000000000000004E-2</v>
      </c>
      <c r="AT155" s="95">
        <f t="shared" si="113"/>
        <v>4.7519999999999999E-5</v>
      </c>
      <c r="AU155" s="94">
        <f t="shared" si="120"/>
        <v>37.552358531838074</v>
      </c>
      <c r="AV155" s="92">
        <f t="shared" si="121"/>
        <v>488.40000000000003</v>
      </c>
      <c r="AW155" s="95">
        <f t="shared" si="122"/>
        <v>92.860121658801376</v>
      </c>
    </row>
    <row r="156" spans="17:49" x14ac:dyDescent="0.25">
      <c r="Q156" s="32">
        <v>149</v>
      </c>
      <c r="R156" s="94">
        <f t="shared" si="96"/>
        <v>45</v>
      </c>
      <c r="S156" s="92">
        <f t="shared" si="97"/>
        <v>10.926666666666666</v>
      </c>
      <c r="T156" s="92">
        <f t="shared" si="98"/>
        <v>14.4</v>
      </c>
      <c r="U156" s="95">
        <f t="shared" si="99"/>
        <v>34.145833333333329</v>
      </c>
      <c r="V156" s="94">
        <f>IF(Variable_Management!$B$23=3,2,IF((S156*R156/T156)&lt;((T156*(1-(T156/R156)))/(2*Lm*Fsw)),1,2))</f>
        <v>2</v>
      </c>
      <c r="W156" s="92">
        <f t="shared" si="100"/>
        <v>0.67999999999999994</v>
      </c>
      <c r="X156" s="95">
        <f t="shared" si="101"/>
        <v>0.32000000000000006</v>
      </c>
      <c r="Y156" s="94">
        <f t="shared" si="102"/>
        <v>7.4181818181818189</v>
      </c>
      <c r="Z156" s="92">
        <f t="shared" si="124"/>
        <v>37.854924242424239</v>
      </c>
      <c r="AA156" s="92">
        <f t="shared" si="125"/>
        <v>34.212917431165444</v>
      </c>
      <c r="AB156" s="92">
        <v>0</v>
      </c>
      <c r="AC156" s="92">
        <f t="shared" si="103"/>
        <v>7.0231423149104657</v>
      </c>
      <c r="AD156" s="95">
        <f t="shared" si="114"/>
        <v>7.0231423149104657</v>
      </c>
      <c r="AE156" s="94">
        <f t="shared" si="123"/>
        <v>23.219166666666663</v>
      </c>
      <c r="AF156" s="92">
        <f t="shared" si="115"/>
        <v>28.212694465846152</v>
      </c>
      <c r="AG156" s="92">
        <f t="shared" si="104"/>
        <v>5.5716929031623028</v>
      </c>
      <c r="AH156" s="92">
        <f t="shared" si="105"/>
        <v>10.707296316964284</v>
      </c>
      <c r="AI156" s="95">
        <f t="shared" si="116"/>
        <v>16.278989220126586</v>
      </c>
      <c r="AJ156" s="94">
        <f t="shared" si="117"/>
        <v>10.926666666666668</v>
      </c>
      <c r="AK156" s="92">
        <f t="shared" si="106"/>
        <v>19.353748735802021</v>
      </c>
      <c r="AL156" s="92">
        <f t="shared" si="107"/>
        <v>2.6219731308999084</v>
      </c>
      <c r="AM156" s="92">
        <f t="shared" si="118"/>
        <v>0.34846000000000005</v>
      </c>
      <c r="AN156" s="211">
        <f t="shared" si="108"/>
        <v>0.64353371212121213</v>
      </c>
      <c r="AO156" s="95">
        <f t="shared" si="119"/>
        <v>3.6139668430211209</v>
      </c>
      <c r="AP156" s="94">
        <f t="shared" si="109"/>
        <v>1.7557855787276164</v>
      </c>
      <c r="AQ156" s="230">
        <f t="shared" si="110"/>
        <v>7.0231423149104657</v>
      </c>
      <c r="AR156" s="230">
        <f t="shared" si="111"/>
        <v>2.2167935757072685</v>
      </c>
      <c r="AS156" s="92">
        <f t="shared" si="112"/>
        <v>3.6000000000000004E-2</v>
      </c>
      <c r="AT156" s="95">
        <f t="shared" si="113"/>
        <v>4.7519999999999999E-5</v>
      </c>
      <c r="AU156" s="94">
        <f t="shared" si="120"/>
        <v>37.947867367403532</v>
      </c>
      <c r="AV156" s="92">
        <f t="shared" si="121"/>
        <v>491.7</v>
      </c>
      <c r="AW156" s="95">
        <f t="shared" si="122"/>
        <v>92.835264766377307</v>
      </c>
    </row>
    <row r="157" spans="17:49" ht="15.75" thickBot="1" x14ac:dyDescent="0.3">
      <c r="Q157" s="32">
        <v>150</v>
      </c>
      <c r="R157" s="96">
        <f t="shared" si="96"/>
        <v>45</v>
      </c>
      <c r="S157" s="97">
        <f t="shared" si="97"/>
        <v>11</v>
      </c>
      <c r="T157" s="97">
        <f t="shared" si="98"/>
        <v>14.4</v>
      </c>
      <c r="U157" s="98">
        <f t="shared" si="99"/>
        <v>34.375</v>
      </c>
      <c r="V157" s="94">
        <f>IF(Variable_Management!$B$23=3,2,IF((S157*R157/T157)&lt;((T157*(1-(T157/R157)))/(2*Lm*Fsw)),1,2))</f>
        <v>2</v>
      </c>
      <c r="W157" s="97">
        <f t="shared" si="100"/>
        <v>0.67999999999999994</v>
      </c>
      <c r="X157" s="95">
        <f t="shared" si="101"/>
        <v>0.32000000000000006</v>
      </c>
      <c r="Y157" s="96">
        <f t="shared" si="102"/>
        <v>7.4181818181818189</v>
      </c>
      <c r="Z157" s="97">
        <f t="shared" si="124"/>
        <v>38.084090909090911</v>
      </c>
      <c r="AA157" s="97">
        <f t="shared" si="125"/>
        <v>34.441637738701786</v>
      </c>
      <c r="AB157" s="97">
        <v>0</v>
      </c>
      <c r="AC157" s="97">
        <f t="shared" si="103"/>
        <v>7.1173584607438025</v>
      </c>
      <c r="AD157" s="98">
        <f t="shared" si="114"/>
        <v>7.1173584607438025</v>
      </c>
      <c r="AE157" s="96">
        <f t="shared" si="123"/>
        <v>23.374999999999996</v>
      </c>
      <c r="AF157" s="92">
        <f t="shared" si="115"/>
        <v>28.401302063185369</v>
      </c>
      <c r="AG157" s="97">
        <f t="shared" si="104"/>
        <v>5.6464377121900826</v>
      </c>
      <c r="AH157" s="97">
        <f t="shared" si="105"/>
        <v>10.779157366071429</v>
      </c>
      <c r="AI157" s="98">
        <f t="shared" si="116"/>
        <v>16.425595078261512</v>
      </c>
      <c r="AJ157" s="96">
        <f>X157*U157</f>
        <v>11.000000000000002</v>
      </c>
      <c r="AK157" s="97">
        <f t="shared" si="106"/>
        <v>19.483132480165235</v>
      </c>
      <c r="AL157" s="92">
        <f t="shared" si="107"/>
        <v>2.6571471586776867</v>
      </c>
      <c r="AM157" s="92">
        <f t="shared" si="118"/>
        <v>0.34846000000000005</v>
      </c>
      <c r="AN157" s="211">
        <f t="shared" si="108"/>
        <v>0.64742954545454556</v>
      </c>
      <c r="AO157" s="95">
        <f t="shared" si="119"/>
        <v>3.6530367041322327</v>
      </c>
      <c r="AP157" s="94">
        <f t="shared" si="109"/>
        <v>1.7793396151859506</v>
      </c>
      <c r="AQ157" s="230">
        <f t="shared" si="110"/>
        <v>7.1173584607438025</v>
      </c>
      <c r="AR157" s="230">
        <f t="shared" si="111"/>
        <v>2.2167935757072685</v>
      </c>
      <c r="AS157" s="92">
        <f t="shared" si="112"/>
        <v>3.6000000000000004E-2</v>
      </c>
      <c r="AT157" s="98">
        <f t="shared" si="113"/>
        <v>4.7519999999999999E-5</v>
      </c>
      <c r="AU157" s="94">
        <f t="shared" si="120"/>
        <v>38.345529414774575</v>
      </c>
      <c r="AV157" s="97">
        <f t="shared" si="121"/>
        <v>495</v>
      </c>
      <c r="AW157" s="98">
        <f>(AV157/(AV157+AU157))*100</f>
        <v>92.810377644516862</v>
      </c>
    </row>
    <row r="158" spans="17:49" x14ac:dyDescent="0.25">
      <c r="Q158" s="32"/>
    </row>
    <row r="159" spans="17:49" x14ac:dyDescent="0.25">
      <c r="Q159" s="32"/>
    </row>
    <row r="160" spans="17:49" x14ac:dyDescent="0.25">
      <c r="Q160" s="32"/>
    </row>
    <row r="161" spans="17:17" x14ac:dyDescent="0.25">
      <c r="Q161" s="32"/>
    </row>
    <row r="162" spans="17:17" x14ac:dyDescent="0.25">
      <c r="Q162" s="32"/>
    </row>
    <row r="163" spans="17:17" x14ac:dyDescent="0.25">
      <c r="Q163" s="32"/>
    </row>
    <row r="164" spans="17:17" x14ac:dyDescent="0.25">
      <c r="Q164" s="32"/>
    </row>
    <row r="165" spans="17:17" x14ac:dyDescent="0.25">
      <c r="Q165" s="32"/>
    </row>
    <row r="166" spans="17:17" x14ac:dyDescent="0.25">
      <c r="Q166" s="32"/>
    </row>
    <row r="167" spans="17:17" x14ac:dyDescent="0.25">
      <c r="Q167" s="32"/>
    </row>
    <row r="168" spans="17:17" x14ac:dyDescent="0.25">
      <c r="Q168" s="32"/>
    </row>
    <row r="169" spans="17:17" x14ac:dyDescent="0.25">
      <c r="Q169" s="32"/>
    </row>
    <row r="170" spans="17:17" x14ac:dyDescent="0.25">
      <c r="Q170" s="32"/>
    </row>
    <row r="171" spans="17:17" x14ac:dyDescent="0.25">
      <c r="Q171" s="32"/>
    </row>
    <row r="172" spans="17:17" x14ac:dyDescent="0.25">
      <c r="Q172" s="32"/>
    </row>
    <row r="173" spans="17:17" x14ac:dyDescent="0.25">
      <c r="Q173" s="32"/>
    </row>
    <row r="174" spans="17:17" x14ac:dyDescent="0.25">
      <c r="Q174" s="32"/>
    </row>
    <row r="175" spans="17:17" x14ac:dyDescent="0.25">
      <c r="Q175" s="32"/>
    </row>
    <row r="176" spans="17:17" x14ac:dyDescent="0.25">
      <c r="Q176" s="32"/>
    </row>
    <row r="177" spans="17:17" x14ac:dyDescent="0.25">
      <c r="Q177" s="32"/>
    </row>
    <row r="178" spans="17:17" x14ac:dyDescent="0.25">
      <c r="Q178" s="32"/>
    </row>
    <row r="179" spans="17:17" x14ac:dyDescent="0.25">
      <c r="Q179" s="32"/>
    </row>
    <row r="180" spans="17:17" x14ac:dyDescent="0.25">
      <c r="Q180" s="32"/>
    </row>
    <row r="181" spans="17:17" x14ac:dyDescent="0.25">
      <c r="Q181" s="32"/>
    </row>
    <row r="182" spans="17:17" x14ac:dyDescent="0.25">
      <c r="Q182" s="32"/>
    </row>
    <row r="183" spans="17:17" x14ac:dyDescent="0.25">
      <c r="Q183" s="32"/>
    </row>
    <row r="184" spans="17:17" x14ac:dyDescent="0.25">
      <c r="Q184" s="32"/>
    </row>
    <row r="185" spans="17:17" x14ac:dyDescent="0.25">
      <c r="Q185" s="32"/>
    </row>
    <row r="186" spans="17:17" x14ac:dyDescent="0.25">
      <c r="Q186" s="32"/>
    </row>
    <row r="187" spans="17:17" x14ac:dyDescent="0.25">
      <c r="Q187" s="32"/>
    </row>
    <row r="188" spans="17:17" x14ac:dyDescent="0.25">
      <c r="Q188" s="32"/>
    </row>
    <row r="189" spans="17:17" x14ac:dyDescent="0.25">
      <c r="Q189" s="32"/>
    </row>
    <row r="190" spans="17:17" x14ac:dyDescent="0.25">
      <c r="Q190" s="32"/>
    </row>
    <row r="191" spans="17:17" x14ac:dyDescent="0.25">
      <c r="Q191" s="32"/>
    </row>
    <row r="192" spans="17:17" x14ac:dyDescent="0.25">
      <c r="Q192" s="32"/>
    </row>
    <row r="193" spans="17:17" x14ac:dyDescent="0.25">
      <c r="Q193" s="32"/>
    </row>
    <row r="194" spans="17:17" x14ac:dyDescent="0.25">
      <c r="Q194" s="32"/>
    </row>
    <row r="195" spans="17:17" x14ac:dyDescent="0.25">
      <c r="Q195" s="32"/>
    </row>
    <row r="196" spans="17:17" x14ac:dyDescent="0.25">
      <c r="Q196" s="32"/>
    </row>
    <row r="197" spans="17:17" x14ac:dyDescent="0.25">
      <c r="Q197" s="32"/>
    </row>
    <row r="198" spans="17:17" x14ac:dyDescent="0.25">
      <c r="Q198" s="32"/>
    </row>
    <row r="199" spans="17:17" x14ac:dyDescent="0.25">
      <c r="Q199" s="32"/>
    </row>
    <row r="200" spans="17:17" x14ac:dyDescent="0.25">
      <c r="Q200" s="32"/>
    </row>
    <row r="201" spans="17:17" x14ac:dyDescent="0.25">
      <c r="Q201" s="32"/>
    </row>
    <row r="202" spans="17:17" x14ac:dyDescent="0.25">
      <c r="Q202" s="32"/>
    </row>
    <row r="203" spans="17:17" x14ac:dyDescent="0.25">
      <c r="Q203" s="32"/>
    </row>
    <row r="204" spans="17:17" x14ac:dyDescent="0.25">
      <c r="Q204" s="32"/>
    </row>
    <row r="205" spans="17:17" x14ac:dyDescent="0.25">
      <c r="Q205" s="32"/>
    </row>
    <row r="206" spans="17:17" x14ac:dyDescent="0.25">
      <c r="Q206" s="32"/>
    </row>
    <row r="207" spans="17:17" x14ac:dyDescent="0.25">
      <c r="Q207" s="32"/>
    </row>
  </sheetData>
  <mergeCells count="7">
    <mergeCell ref="AP5:AT5"/>
    <mergeCell ref="A1:M1"/>
    <mergeCell ref="R5:U5"/>
    <mergeCell ref="V5:X5"/>
    <mergeCell ref="Y5:AD5"/>
    <mergeCell ref="AE5:AI5"/>
    <mergeCell ref="AJ5:AO5"/>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62"/>
  <sheetViews>
    <sheetView zoomScaleNormal="100" workbookViewId="0">
      <selection activeCell="H18" sqref="H18"/>
    </sheetView>
  </sheetViews>
  <sheetFormatPr defaultRowHeight="15" x14ac:dyDescent="0.25"/>
  <cols>
    <col min="1" max="1" width="26.7109375" customWidth="1"/>
    <col min="2" max="2" width="25.5703125" customWidth="1"/>
    <col min="3" max="3" width="10.28515625" customWidth="1"/>
  </cols>
  <sheetData>
    <row r="1" spans="1:9" ht="27.75" x14ac:dyDescent="0.4">
      <c r="A1" s="365" t="s">
        <v>55</v>
      </c>
      <c r="B1" s="365"/>
      <c r="C1" s="365"/>
      <c r="D1" s="365"/>
      <c r="E1" s="365"/>
      <c r="F1" s="365"/>
      <c r="G1" s="365"/>
      <c r="H1" s="365"/>
      <c r="I1" s="365"/>
    </row>
    <row r="2" spans="1:9" x14ac:dyDescent="0.25">
      <c r="A2" s="12"/>
      <c r="B2" s="12" t="s">
        <v>10</v>
      </c>
      <c r="C2" s="13"/>
      <c r="D2" s="18"/>
      <c r="E2" s="12"/>
      <c r="F2" s="12"/>
      <c r="G2" s="12"/>
      <c r="H2" s="12"/>
      <c r="I2" s="12"/>
    </row>
    <row r="3" spans="1:9" x14ac:dyDescent="0.25">
      <c r="A3" s="12"/>
      <c r="B3" s="12" t="s">
        <v>11</v>
      </c>
      <c r="C3" s="14"/>
      <c r="D3" s="18"/>
      <c r="E3" s="12"/>
      <c r="F3" s="12"/>
      <c r="G3" s="12"/>
      <c r="H3" s="12"/>
      <c r="I3" s="12"/>
    </row>
    <row r="4" spans="1:9" x14ac:dyDescent="0.25">
      <c r="A4" s="12"/>
      <c r="B4" s="12" t="s">
        <v>12</v>
      </c>
      <c r="C4" s="15"/>
      <c r="D4" s="18"/>
      <c r="E4" s="12"/>
      <c r="F4" s="12"/>
      <c r="G4" s="12"/>
      <c r="H4" s="12"/>
      <c r="I4" s="12"/>
    </row>
    <row r="5" spans="1:9" x14ac:dyDescent="0.25">
      <c r="A5" s="11" t="s">
        <v>13</v>
      </c>
      <c r="B5" s="11" t="s">
        <v>14</v>
      </c>
      <c r="C5" s="11" t="s">
        <v>15</v>
      </c>
      <c r="D5" s="18"/>
      <c r="E5" s="366" t="s">
        <v>16</v>
      </c>
      <c r="F5" s="366"/>
      <c r="G5" s="366"/>
      <c r="H5" s="366"/>
      <c r="I5" s="11"/>
    </row>
    <row r="6" spans="1:9" s="32" customFormat="1" x14ac:dyDescent="0.25">
      <c r="A6" s="11"/>
      <c r="B6" s="11"/>
      <c r="C6" s="11"/>
      <c r="D6" s="18"/>
      <c r="E6" s="322"/>
      <c r="F6" s="322"/>
      <c r="G6" s="322"/>
      <c r="H6" s="322"/>
      <c r="I6" s="11"/>
    </row>
    <row r="7" spans="1:9" s="32" customFormat="1" x14ac:dyDescent="0.25">
      <c r="A7" s="327" t="s">
        <v>729</v>
      </c>
      <c r="B7" s="327"/>
      <c r="C7" s="327"/>
      <c r="D7" s="18"/>
      <c r="E7" s="322"/>
      <c r="F7" s="322"/>
      <c r="G7" s="322"/>
      <c r="H7" s="322"/>
      <c r="I7" s="11"/>
    </row>
    <row r="8" spans="1:9" s="32" customFormat="1" x14ac:dyDescent="0.25">
      <c r="A8" s="327" t="s">
        <v>730</v>
      </c>
      <c r="B8" s="328">
        <v>4.5</v>
      </c>
      <c r="C8" s="327" t="s">
        <v>5</v>
      </c>
      <c r="D8" s="18"/>
      <c r="E8" s="322"/>
      <c r="F8" s="322"/>
      <c r="G8" s="322"/>
      <c r="H8" s="322"/>
      <c r="I8" s="11"/>
    </row>
    <row r="9" spans="1:9" s="4" customFormat="1" x14ac:dyDescent="0.25">
      <c r="A9" s="327" t="s">
        <v>731</v>
      </c>
      <c r="B9" s="328">
        <v>42</v>
      </c>
      <c r="C9" s="327" t="s">
        <v>5</v>
      </c>
      <c r="D9" s="18"/>
      <c r="E9" s="20"/>
      <c r="F9" s="20"/>
      <c r="G9" s="20"/>
      <c r="H9" s="20"/>
      <c r="I9" s="11"/>
    </row>
    <row r="10" spans="1:9" s="32" customFormat="1" x14ac:dyDescent="0.25">
      <c r="A10" s="327" t="s">
        <v>732</v>
      </c>
      <c r="B10" s="328">
        <v>6</v>
      </c>
      <c r="C10" s="327" t="s">
        <v>5</v>
      </c>
      <c r="D10" s="18"/>
      <c r="E10" s="322"/>
      <c r="F10" s="322"/>
      <c r="G10" s="322"/>
      <c r="H10" s="322"/>
      <c r="I10" s="11"/>
    </row>
    <row r="11" spans="1:9" s="32" customFormat="1" x14ac:dyDescent="0.25">
      <c r="A11" s="327" t="s">
        <v>733</v>
      </c>
      <c r="B11" s="328">
        <v>60</v>
      </c>
      <c r="C11" s="327" t="s">
        <v>5</v>
      </c>
      <c r="D11" s="18"/>
      <c r="E11" s="322"/>
      <c r="F11" s="322"/>
      <c r="G11" s="322"/>
      <c r="H11" s="322"/>
      <c r="I11" s="11"/>
    </row>
    <row r="12" spans="1:9" s="32" customFormat="1" x14ac:dyDescent="0.25">
      <c r="A12" s="11"/>
      <c r="B12" s="11"/>
      <c r="C12" s="11"/>
      <c r="D12" s="18"/>
      <c r="E12" s="322"/>
      <c r="F12" s="322"/>
      <c r="G12" s="322"/>
      <c r="H12" s="322"/>
      <c r="I12" s="11"/>
    </row>
    <row r="13" spans="1:9" s="4" customFormat="1" x14ac:dyDescent="0.25">
      <c r="A13" s="11" t="s">
        <v>44</v>
      </c>
      <c r="B13" s="11"/>
      <c r="C13" s="11"/>
      <c r="D13" s="18"/>
      <c r="E13" s="20"/>
      <c r="F13" s="20"/>
      <c r="G13" s="20"/>
      <c r="H13" s="20"/>
      <c r="I13" s="11"/>
    </row>
    <row r="14" spans="1:9" s="4" customFormat="1" x14ac:dyDescent="0.25">
      <c r="A14" s="11"/>
      <c r="B14" s="11"/>
      <c r="C14" s="11"/>
      <c r="D14" s="18"/>
      <c r="E14" s="20"/>
      <c r="F14" s="20"/>
      <c r="G14" s="20"/>
      <c r="H14" s="20"/>
      <c r="I14" s="11"/>
    </row>
    <row r="15" spans="1:9" s="4" customFormat="1" x14ac:dyDescent="0.25">
      <c r="A15" s="4" t="s">
        <v>37</v>
      </c>
      <c r="B15" s="328">
        <v>1.05E-7</v>
      </c>
      <c r="C15" s="4" t="s">
        <v>40</v>
      </c>
      <c r="D15" s="4" t="s">
        <v>43</v>
      </c>
    </row>
    <row r="16" spans="1:9" s="4" customFormat="1" x14ac:dyDescent="0.25">
      <c r="A16" s="4" t="s">
        <v>38</v>
      </c>
      <c r="B16" s="328">
        <v>8.0000000000000002E-8</v>
      </c>
      <c r="C16" s="4" t="s">
        <v>40</v>
      </c>
      <c r="D16" s="4" t="s">
        <v>42</v>
      </c>
    </row>
    <row r="17" spans="1:4" x14ac:dyDescent="0.25">
      <c r="A17" t="s">
        <v>39</v>
      </c>
      <c r="B17" s="328">
        <v>5.5000000000000003E-8</v>
      </c>
      <c r="C17" t="s">
        <v>40</v>
      </c>
      <c r="D17" t="s">
        <v>41</v>
      </c>
    </row>
    <row r="19" spans="1:4" x14ac:dyDescent="0.25">
      <c r="A19" t="s">
        <v>59</v>
      </c>
      <c r="B19" s="22">
        <f>20*10^-9</f>
        <v>2E-8</v>
      </c>
      <c r="C19" t="s">
        <v>40</v>
      </c>
      <c r="D19" t="s">
        <v>466</v>
      </c>
    </row>
    <row r="20" spans="1:4" s="32" customFormat="1" x14ac:dyDescent="0.25">
      <c r="B20" s="27"/>
    </row>
    <row r="21" spans="1:4" ht="15.75" x14ac:dyDescent="0.25">
      <c r="A21" s="42" t="s">
        <v>113</v>
      </c>
    </row>
    <row r="22" spans="1:4" s="32" customFormat="1" x14ac:dyDescent="0.25">
      <c r="A22" s="32" t="s">
        <v>408</v>
      </c>
      <c r="B22" s="22">
        <v>4.8000000000000001E-2</v>
      </c>
      <c r="C22" s="2"/>
    </row>
    <row r="23" spans="1:4" s="32" customFormat="1" x14ac:dyDescent="0.25">
      <c r="B23" s="27"/>
      <c r="C23" s="2"/>
    </row>
    <row r="24" spans="1:4" x14ac:dyDescent="0.25">
      <c r="A24" t="s">
        <v>104</v>
      </c>
      <c r="B24" s="22">
        <v>0.06</v>
      </c>
      <c r="C24" s="2" t="s">
        <v>5</v>
      </c>
      <c r="D24" t="s">
        <v>105</v>
      </c>
    </row>
    <row r="25" spans="1:4" x14ac:dyDescent="0.25">
      <c r="A25" t="s">
        <v>165</v>
      </c>
      <c r="B25" s="22">
        <v>1</v>
      </c>
      <c r="C25" t="s">
        <v>121</v>
      </c>
      <c r="D25" t="s">
        <v>167</v>
      </c>
    </row>
    <row r="26" spans="1:4" x14ac:dyDescent="0.25">
      <c r="A26" t="s">
        <v>169</v>
      </c>
      <c r="B26" s="22">
        <v>10</v>
      </c>
      <c r="C26" t="s">
        <v>121</v>
      </c>
      <c r="D26" t="s">
        <v>170</v>
      </c>
    </row>
    <row r="28" spans="1:4" s="32" customFormat="1" x14ac:dyDescent="0.25">
      <c r="A28" s="47" t="s">
        <v>189</v>
      </c>
    </row>
    <row r="29" spans="1:4" s="32" customFormat="1" x14ac:dyDescent="0.25">
      <c r="A29" s="32" t="s">
        <v>207</v>
      </c>
      <c r="B29" s="22">
        <v>1</v>
      </c>
      <c r="C29" s="32" t="s">
        <v>5</v>
      </c>
      <c r="D29" s="32" t="s">
        <v>208</v>
      </c>
    </row>
    <row r="30" spans="1:4" x14ac:dyDescent="0.25">
      <c r="A30" t="s">
        <v>192</v>
      </c>
      <c r="B30" s="22">
        <f>(1*10^-3)/1</f>
        <v>1E-3</v>
      </c>
      <c r="C30" t="s">
        <v>194</v>
      </c>
      <c r="D30" t="s">
        <v>193</v>
      </c>
    </row>
    <row r="31" spans="1:4" s="32" customFormat="1" x14ac:dyDescent="0.25"/>
    <row r="32" spans="1:4" x14ac:dyDescent="0.25">
      <c r="A32" s="47" t="s">
        <v>239</v>
      </c>
    </row>
    <row r="33" spans="1:8" x14ac:dyDescent="0.25">
      <c r="A33" t="s">
        <v>240</v>
      </c>
      <c r="B33" s="262">
        <f>50*10^-6</f>
        <v>4.9999999999999996E-5</v>
      </c>
      <c r="C33" t="s">
        <v>6</v>
      </c>
      <c r="D33" t="s">
        <v>241</v>
      </c>
    </row>
    <row r="34" spans="1:8" x14ac:dyDescent="0.25">
      <c r="A34" s="47" t="s">
        <v>499</v>
      </c>
      <c r="B34" s="32"/>
      <c r="C34" s="32"/>
      <c r="D34" s="32"/>
      <c r="E34" s="32"/>
      <c r="F34" s="32"/>
      <c r="G34" s="32"/>
      <c r="H34" s="32"/>
    </row>
    <row r="35" spans="1:8" x14ac:dyDescent="0.25">
      <c r="A35" s="32" t="s">
        <v>485</v>
      </c>
      <c r="B35" s="32">
        <v>1.1000000000000001</v>
      </c>
      <c r="C35" s="32" t="s">
        <v>5</v>
      </c>
      <c r="D35" s="32" t="s">
        <v>500</v>
      </c>
      <c r="E35" s="32"/>
      <c r="F35" s="32"/>
      <c r="G35" s="32"/>
      <c r="H35" s="32"/>
    </row>
    <row r="36" spans="1:8" x14ac:dyDescent="0.25">
      <c r="A36" s="32" t="s">
        <v>487</v>
      </c>
      <c r="B36" s="32">
        <v>1.075</v>
      </c>
      <c r="C36" s="32" t="s">
        <v>5</v>
      </c>
      <c r="D36" s="32" t="s">
        <v>501</v>
      </c>
      <c r="E36" s="32"/>
      <c r="F36" s="32"/>
      <c r="G36" s="32"/>
      <c r="H36" s="32"/>
    </row>
    <row r="37" spans="1:8" x14ac:dyDescent="0.25">
      <c r="A37" s="32" t="s">
        <v>489</v>
      </c>
      <c r="B37" s="32">
        <f>10*10^-6</f>
        <v>9.9999999999999991E-6</v>
      </c>
      <c r="C37" s="32" t="s">
        <v>6</v>
      </c>
      <c r="D37" s="32" t="s">
        <v>502</v>
      </c>
      <c r="E37" s="32"/>
      <c r="F37" s="32"/>
      <c r="G37" s="32"/>
      <c r="H37" s="32"/>
    </row>
    <row r="39" spans="1:8" x14ac:dyDescent="0.25">
      <c r="A39" s="47" t="s">
        <v>289</v>
      </c>
    </row>
    <row r="40" spans="1:8" x14ac:dyDescent="0.25">
      <c r="A40" t="s">
        <v>290</v>
      </c>
      <c r="B40" s="22">
        <v>5</v>
      </c>
      <c r="C40" t="s">
        <v>5</v>
      </c>
      <c r="D40" t="s">
        <v>291</v>
      </c>
    </row>
    <row r="42" spans="1:8" x14ac:dyDescent="0.25">
      <c r="A42" s="47" t="s">
        <v>307</v>
      </c>
    </row>
    <row r="43" spans="1:8" x14ac:dyDescent="0.25">
      <c r="A43" t="s">
        <v>308</v>
      </c>
      <c r="B43" s="263">
        <f>3.3*(10^-6)</f>
        <v>3.2999999999999997E-6</v>
      </c>
      <c r="C43" t="s">
        <v>6</v>
      </c>
      <c r="D43" t="s">
        <v>309</v>
      </c>
    </row>
    <row r="45" spans="1:8" x14ac:dyDescent="0.25">
      <c r="A45" s="47" t="s">
        <v>515</v>
      </c>
    </row>
    <row r="46" spans="1:8" x14ac:dyDescent="0.25">
      <c r="A46" t="s">
        <v>337</v>
      </c>
      <c r="B46" s="22">
        <v>2.5</v>
      </c>
      <c r="C46" t="s">
        <v>5</v>
      </c>
      <c r="D46" t="s">
        <v>338</v>
      </c>
    </row>
    <row r="47" spans="1:8" x14ac:dyDescent="0.25">
      <c r="A47" s="32" t="s">
        <v>340</v>
      </c>
      <c r="B47" s="22">
        <v>60</v>
      </c>
      <c r="D47" t="s">
        <v>339</v>
      </c>
    </row>
    <row r="49" spans="1:3" x14ac:dyDescent="0.25">
      <c r="A49" s="47" t="s">
        <v>471</v>
      </c>
    </row>
    <row r="50" spans="1:3" x14ac:dyDescent="0.25">
      <c r="A50" t="s">
        <v>472</v>
      </c>
      <c r="B50" s="262">
        <v>2.0000000000000002E-5</v>
      </c>
      <c r="C50" t="s">
        <v>6</v>
      </c>
    </row>
    <row r="52" spans="1:3" x14ac:dyDescent="0.25">
      <c r="A52" s="47" t="s">
        <v>516</v>
      </c>
    </row>
    <row r="53" spans="1:3" x14ac:dyDescent="0.25">
      <c r="A53" t="s">
        <v>518</v>
      </c>
      <c r="B53" s="262">
        <v>3.9999999999999998E-6</v>
      </c>
      <c r="C53" t="s">
        <v>6</v>
      </c>
    </row>
    <row r="54" spans="1:3" x14ac:dyDescent="0.25">
      <c r="A54" t="s">
        <v>517</v>
      </c>
      <c r="B54" s="262">
        <v>3.3300000000000002E-4</v>
      </c>
      <c r="C54" t="s">
        <v>194</v>
      </c>
    </row>
    <row r="55" spans="1:3" x14ac:dyDescent="0.25">
      <c r="A55" t="s">
        <v>519</v>
      </c>
      <c r="B55" s="264">
        <v>1</v>
      </c>
      <c r="C55" t="s">
        <v>5</v>
      </c>
    </row>
    <row r="57" spans="1:3" x14ac:dyDescent="0.25">
      <c r="A57" s="47" t="s">
        <v>551</v>
      </c>
    </row>
    <row r="58" spans="1:3" x14ac:dyDescent="0.25">
      <c r="A58" t="s">
        <v>552</v>
      </c>
      <c r="B58">
        <v>1.2</v>
      </c>
      <c r="C58" t="s">
        <v>553</v>
      </c>
    </row>
    <row r="60" spans="1:3" x14ac:dyDescent="0.25">
      <c r="A60" s="47" t="s">
        <v>748</v>
      </c>
    </row>
    <row r="61" spans="1:3" x14ac:dyDescent="0.25">
      <c r="A61" t="s">
        <v>746</v>
      </c>
      <c r="B61" s="22">
        <v>2000000</v>
      </c>
      <c r="C61" t="s">
        <v>553</v>
      </c>
    </row>
    <row r="62" spans="1:3" x14ac:dyDescent="0.25">
      <c r="A62" t="s">
        <v>747</v>
      </c>
      <c r="B62" s="262">
        <v>2E-12</v>
      </c>
      <c r="C62" t="s">
        <v>131</v>
      </c>
    </row>
  </sheetData>
  <mergeCells count="2">
    <mergeCell ref="A1:I1"/>
    <mergeCell ref="E5:H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590E-75FD-4733-A1B0-21A696084D79}">
  <sheetPr codeName="Sheet7"/>
  <dimension ref="A1:V27"/>
  <sheetViews>
    <sheetView workbookViewId="0">
      <selection activeCell="L3" sqref="L3"/>
    </sheetView>
  </sheetViews>
  <sheetFormatPr defaultRowHeight="15" x14ac:dyDescent="0.25"/>
  <cols>
    <col min="1" max="1" width="9.140625" style="32"/>
    <col min="2" max="2" width="12" customWidth="1"/>
    <col min="3" max="3" width="16.140625" customWidth="1"/>
    <col min="4" max="4" width="14.28515625" style="293" customWidth="1"/>
    <col min="5" max="5" width="4.5703125" style="292" customWidth="1"/>
    <col min="12" max="12" width="22.7109375" customWidth="1"/>
    <col min="13" max="13" width="14.28515625" customWidth="1"/>
    <col min="18" max="18" width="42.28515625" style="306" customWidth="1"/>
    <col min="21" max="21" width="11.28515625" customWidth="1"/>
  </cols>
  <sheetData>
    <row r="1" spans="1:22" s="32" customFormat="1" x14ac:dyDescent="0.25">
      <c r="B1" s="178"/>
      <c r="C1" s="391" t="s">
        <v>561</v>
      </c>
      <c r="D1" s="391"/>
      <c r="E1" s="292"/>
      <c r="F1" s="391" t="s">
        <v>565</v>
      </c>
      <c r="G1" s="391"/>
      <c r="H1" s="391"/>
      <c r="I1" s="391"/>
      <c r="K1" s="32" t="s">
        <v>570</v>
      </c>
      <c r="R1" s="306"/>
    </row>
    <row r="2" spans="1:22" s="294" customFormat="1" x14ac:dyDescent="0.25">
      <c r="A2" s="294" t="s">
        <v>657</v>
      </c>
      <c r="B2" s="294" t="s">
        <v>656</v>
      </c>
      <c r="C2" s="303" t="s">
        <v>626</v>
      </c>
      <c r="D2" s="295"/>
      <c r="E2" s="296"/>
      <c r="F2" s="294" t="s">
        <v>566</v>
      </c>
      <c r="G2" s="294" t="s">
        <v>567</v>
      </c>
      <c r="H2" s="294" t="s">
        <v>568</v>
      </c>
      <c r="I2" s="294" t="s">
        <v>569</v>
      </c>
      <c r="K2" s="294" t="s">
        <v>595</v>
      </c>
      <c r="L2" s="294" t="s">
        <v>571</v>
      </c>
      <c r="M2" s="294" t="s">
        <v>573</v>
      </c>
      <c r="N2" s="294" t="s">
        <v>574</v>
      </c>
      <c r="O2" s="294" t="s">
        <v>575</v>
      </c>
      <c r="P2" s="302" t="s">
        <v>567</v>
      </c>
      <c r="Q2" s="302" t="s">
        <v>567</v>
      </c>
      <c r="R2" s="307" t="s">
        <v>564</v>
      </c>
      <c r="S2" s="294" t="s">
        <v>591</v>
      </c>
      <c r="U2" s="294" t="s">
        <v>736</v>
      </c>
      <c r="V2" s="294" t="s">
        <v>755</v>
      </c>
    </row>
    <row r="3" spans="1:22" x14ac:dyDescent="0.25">
      <c r="A3" s="32">
        <v>1</v>
      </c>
      <c r="B3" s="292" t="s">
        <v>634</v>
      </c>
      <c r="C3" t="s">
        <v>753</v>
      </c>
      <c r="D3" s="293" t="s">
        <v>658</v>
      </c>
      <c r="F3">
        <v>0</v>
      </c>
      <c r="G3" t="s">
        <v>562</v>
      </c>
      <c r="H3" t="s">
        <v>578</v>
      </c>
      <c r="I3" t="s">
        <v>578</v>
      </c>
      <c r="K3" s="32">
        <v>0</v>
      </c>
      <c r="L3" t="s">
        <v>664</v>
      </c>
      <c r="M3" s="298" t="s">
        <v>609</v>
      </c>
      <c r="N3" t="s">
        <v>563</v>
      </c>
      <c r="O3" t="s">
        <v>563</v>
      </c>
      <c r="P3" s="314">
        <v>1</v>
      </c>
      <c r="Q3" t="s">
        <v>565</v>
      </c>
      <c r="R3" s="349" t="str">
        <f>IF(Variable_Management!B7=1,"OVP_max-H=64V, latch-off mode","OVP_max-H=64V, OVP_max-L=63V, hiccup mode")</f>
        <v>OVP_max-H=64V, latch-off mode</v>
      </c>
      <c r="S3" t="s">
        <v>563</v>
      </c>
      <c r="U3" t="s">
        <v>505</v>
      </c>
      <c r="V3" s="292" t="s">
        <v>756</v>
      </c>
    </row>
    <row r="4" spans="1:22" x14ac:dyDescent="0.25">
      <c r="A4" s="32">
        <v>2</v>
      </c>
      <c r="B4" s="292" t="s">
        <v>635</v>
      </c>
      <c r="C4" t="s">
        <v>627</v>
      </c>
      <c r="D4" s="293" t="s">
        <v>659</v>
      </c>
      <c r="F4">
        <v>1</v>
      </c>
      <c r="G4" s="32" t="s">
        <v>562</v>
      </c>
      <c r="H4" s="32" t="s">
        <v>578</v>
      </c>
      <c r="I4" t="s">
        <v>578</v>
      </c>
      <c r="K4" s="32">
        <v>1</v>
      </c>
      <c r="L4" s="32" t="s">
        <v>572</v>
      </c>
      <c r="M4" s="298" t="s">
        <v>609</v>
      </c>
      <c r="N4" s="32" t="s">
        <v>563</v>
      </c>
      <c r="O4" s="32" t="s">
        <v>563</v>
      </c>
      <c r="P4" s="314">
        <v>1</v>
      </c>
      <c r="Q4" s="32" t="s">
        <v>565</v>
      </c>
      <c r="R4" s="349" t="str">
        <f>IF(Variable_Management!B7=1,"OVP_max-H=50V, latch-off mode","OVP_max-H=50V, OVP_max-L=49V, hiccup mode")</f>
        <v>OVP_max-H=50V, latch-off mode</v>
      </c>
      <c r="S4" t="s">
        <v>593</v>
      </c>
      <c r="U4" t="s">
        <v>506</v>
      </c>
      <c r="V4" s="292" t="s">
        <v>757</v>
      </c>
    </row>
    <row r="5" spans="1:22" x14ac:dyDescent="0.25">
      <c r="A5" s="32">
        <v>3</v>
      </c>
      <c r="B5" s="292" t="s">
        <v>636</v>
      </c>
      <c r="C5" t="s">
        <v>628</v>
      </c>
      <c r="F5" s="32">
        <v>0</v>
      </c>
      <c r="G5" s="32" t="s">
        <v>562</v>
      </c>
      <c r="H5" s="32" t="s">
        <v>578</v>
      </c>
      <c r="I5" t="s">
        <v>579</v>
      </c>
      <c r="K5" s="32">
        <v>0</v>
      </c>
      <c r="L5" s="32" t="s">
        <v>572</v>
      </c>
      <c r="M5" s="298" t="s">
        <v>609</v>
      </c>
      <c r="N5" s="32" t="s">
        <v>563</v>
      </c>
      <c r="O5" s="32" t="s">
        <v>563</v>
      </c>
      <c r="P5" s="314">
        <v>1</v>
      </c>
      <c r="Q5" s="32" t="s">
        <v>565</v>
      </c>
      <c r="R5" s="349" t="str">
        <f>IF(Variable_Management!B7=1,"OVP_max-H=35V, latch-off mode","OVP_max-H=35V, OVP_max-L=34V, hiccup mode")</f>
        <v>OVP_max-H=35V, latch-off mode</v>
      </c>
      <c r="S5" t="s">
        <v>592</v>
      </c>
    </row>
    <row r="6" spans="1:22" x14ac:dyDescent="0.25">
      <c r="A6" s="32">
        <v>4</v>
      </c>
      <c r="B6" s="292" t="s">
        <v>637</v>
      </c>
      <c r="C6" t="s">
        <v>629</v>
      </c>
      <c r="F6" s="32">
        <v>1</v>
      </c>
      <c r="G6" s="32" t="s">
        <v>562</v>
      </c>
      <c r="H6" s="32" t="s">
        <v>578</v>
      </c>
      <c r="I6" t="s">
        <v>579</v>
      </c>
      <c r="K6" s="32">
        <v>1</v>
      </c>
      <c r="L6" t="s">
        <v>584</v>
      </c>
      <c r="M6" s="298" t="s">
        <v>609</v>
      </c>
      <c r="N6" t="s">
        <v>562</v>
      </c>
      <c r="O6" s="32" t="s">
        <v>563</v>
      </c>
      <c r="P6" s="314">
        <v>0</v>
      </c>
      <c r="Q6" t="s">
        <v>563</v>
      </c>
      <c r="R6" s="349" t="str">
        <f>IF(Variable_Management!B7=1,"OVP_max-H=28.5V, latch-off mode","OVP_max-H=28.5V, OVP_max-L=27.5V, hiccup mode")</f>
        <v>OVP_max-H=28.5V, latch-off mode</v>
      </c>
    </row>
    <row r="7" spans="1:22" x14ac:dyDescent="0.25">
      <c r="A7" s="32">
        <v>5</v>
      </c>
      <c r="B7" s="292" t="s">
        <v>638</v>
      </c>
      <c r="C7" t="s">
        <v>630</v>
      </c>
      <c r="F7" s="32">
        <v>0</v>
      </c>
      <c r="G7" s="32" t="s">
        <v>562</v>
      </c>
      <c r="H7" s="32" t="s">
        <v>579</v>
      </c>
      <c r="I7" s="32" t="s">
        <v>578</v>
      </c>
      <c r="K7" s="32">
        <v>0</v>
      </c>
      <c r="L7" s="32" t="s">
        <v>584</v>
      </c>
      <c r="M7" s="298" t="s">
        <v>609</v>
      </c>
      <c r="N7" s="32" t="s">
        <v>562</v>
      </c>
      <c r="O7" s="32" t="s">
        <v>563</v>
      </c>
      <c r="P7" s="314">
        <v>0</v>
      </c>
      <c r="Q7" s="32" t="s">
        <v>563</v>
      </c>
    </row>
    <row r="8" spans="1:22" x14ac:dyDescent="0.25">
      <c r="A8" s="32">
        <v>6</v>
      </c>
      <c r="B8" s="292" t="s">
        <v>639</v>
      </c>
      <c r="C8" s="32" t="s">
        <v>631</v>
      </c>
      <c r="F8" s="32">
        <v>1</v>
      </c>
      <c r="G8" s="32" t="s">
        <v>562</v>
      </c>
      <c r="H8" s="32" t="s">
        <v>579</v>
      </c>
      <c r="I8" s="32" t="s">
        <v>578</v>
      </c>
      <c r="K8" s="32">
        <v>1</v>
      </c>
      <c r="L8" s="32" t="s">
        <v>584</v>
      </c>
      <c r="M8" s="298" t="s">
        <v>609</v>
      </c>
      <c r="N8" s="32" t="s">
        <v>562</v>
      </c>
      <c r="O8" s="32" t="s">
        <v>563</v>
      </c>
      <c r="P8" s="314">
        <v>0</v>
      </c>
      <c r="Q8" s="32" t="s">
        <v>563</v>
      </c>
      <c r="R8" s="306" t="s">
        <v>652</v>
      </c>
    </row>
    <row r="9" spans="1:22" x14ac:dyDescent="0.25">
      <c r="A9" s="32">
        <v>7</v>
      </c>
      <c r="B9" s="292" t="s">
        <v>640</v>
      </c>
      <c r="C9" t="s">
        <v>632</v>
      </c>
      <c r="F9" s="32">
        <v>0</v>
      </c>
      <c r="G9" s="32" t="s">
        <v>562</v>
      </c>
      <c r="H9" s="32" t="s">
        <v>579</v>
      </c>
      <c r="I9" s="32" t="s">
        <v>579</v>
      </c>
      <c r="K9" s="32">
        <v>0</v>
      </c>
      <c r="L9" s="32" t="s">
        <v>585</v>
      </c>
      <c r="M9" s="298" t="s">
        <v>610</v>
      </c>
      <c r="N9" t="s">
        <v>563</v>
      </c>
      <c r="O9" t="s">
        <v>592</v>
      </c>
      <c r="P9" s="314">
        <v>1</v>
      </c>
      <c r="Q9" s="32" t="s">
        <v>565</v>
      </c>
      <c r="R9" s="306" t="s">
        <v>653</v>
      </c>
    </row>
    <row r="10" spans="1:22" x14ac:dyDescent="0.25">
      <c r="A10" s="32">
        <v>8</v>
      </c>
      <c r="B10" s="292" t="s">
        <v>641</v>
      </c>
      <c r="C10" t="s">
        <v>633</v>
      </c>
      <c r="F10" s="32">
        <v>1</v>
      </c>
      <c r="G10" s="32" t="s">
        <v>562</v>
      </c>
      <c r="H10" s="32" t="s">
        <v>579</v>
      </c>
      <c r="I10" s="32" t="s">
        <v>579</v>
      </c>
      <c r="K10" s="32">
        <v>1</v>
      </c>
      <c r="L10" s="32" t="s">
        <v>585</v>
      </c>
      <c r="M10" s="298" t="s">
        <v>610</v>
      </c>
      <c r="N10" s="32" t="s">
        <v>563</v>
      </c>
      <c r="O10" t="s">
        <v>592</v>
      </c>
      <c r="P10" s="314">
        <v>1</v>
      </c>
      <c r="Q10" s="32" t="s">
        <v>565</v>
      </c>
    </row>
    <row r="11" spans="1:22" ht="18" x14ac:dyDescent="0.25">
      <c r="A11" s="32">
        <v>9</v>
      </c>
      <c r="B11" s="292" t="s">
        <v>642</v>
      </c>
      <c r="C11" s="32"/>
      <c r="F11" s="32">
        <v>0</v>
      </c>
      <c r="G11" t="s">
        <v>563</v>
      </c>
      <c r="H11" s="32" t="s">
        <v>578</v>
      </c>
      <c r="I11" s="32" t="s">
        <v>578</v>
      </c>
      <c r="K11" s="32">
        <v>0</v>
      </c>
      <c r="L11" s="32" t="s">
        <v>586</v>
      </c>
      <c r="M11" s="298" t="s">
        <v>609</v>
      </c>
      <c r="N11" s="32" t="s">
        <v>563</v>
      </c>
      <c r="O11" t="s">
        <v>593</v>
      </c>
      <c r="P11" s="314">
        <v>1</v>
      </c>
      <c r="Q11" s="32" t="s">
        <v>565</v>
      </c>
      <c r="R11" s="306" t="s">
        <v>655</v>
      </c>
    </row>
    <row r="12" spans="1:22" ht="18" x14ac:dyDescent="0.25">
      <c r="A12" s="32">
        <v>10</v>
      </c>
      <c r="B12" s="292" t="s">
        <v>643</v>
      </c>
      <c r="C12" s="32"/>
      <c r="F12" s="32">
        <v>1</v>
      </c>
      <c r="G12" s="32" t="s">
        <v>563</v>
      </c>
      <c r="H12" s="32" t="s">
        <v>578</v>
      </c>
      <c r="I12" s="32" t="s">
        <v>578</v>
      </c>
      <c r="K12" s="32">
        <v>1</v>
      </c>
      <c r="L12" s="32" t="s">
        <v>586</v>
      </c>
      <c r="M12" s="298" t="s">
        <v>609</v>
      </c>
      <c r="N12" s="32" t="s">
        <v>563</v>
      </c>
      <c r="O12" t="s">
        <v>593</v>
      </c>
      <c r="P12" s="314">
        <v>1</v>
      </c>
      <c r="Q12" s="32" t="s">
        <v>565</v>
      </c>
      <c r="R12" s="306" t="s">
        <v>654</v>
      </c>
    </row>
    <row r="13" spans="1:22" x14ac:dyDescent="0.25">
      <c r="A13" s="32">
        <v>11</v>
      </c>
      <c r="B13" s="292" t="s">
        <v>644</v>
      </c>
      <c r="C13" s="32"/>
      <c r="F13" s="32">
        <v>0</v>
      </c>
      <c r="G13" s="32" t="s">
        <v>563</v>
      </c>
      <c r="H13" s="32" t="s">
        <v>578</v>
      </c>
      <c r="I13" s="32" t="s">
        <v>579</v>
      </c>
      <c r="K13" s="32">
        <v>0</v>
      </c>
      <c r="L13" s="32" t="s">
        <v>587</v>
      </c>
      <c r="M13" s="298" t="s">
        <v>610</v>
      </c>
      <c r="N13" t="s">
        <v>562</v>
      </c>
      <c r="O13" t="s">
        <v>592</v>
      </c>
      <c r="P13" s="314">
        <v>0</v>
      </c>
      <c r="Q13" s="32" t="s">
        <v>563</v>
      </c>
    </row>
    <row r="14" spans="1:22" x14ac:dyDescent="0.25">
      <c r="A14" s="32">
        <v>12</v>
      </c>
      <c r="B14" s="292" t="s">
        <v>645</v>
      </c>
      <c r="C14" s="32"/>
      <c r="F14" s="32">
        <v>1</v>
      </c>
      <c r="G14" s="32" t="s">
        <v>563</v>
      </c>
      <c r="H14" s="32" t="s">
        <v>578</v>
      </c>
      <c r="I14" s="32" t="s">
        <v>579</v>
      </c>
      <c r="K14" s="32">
        <v>1</v>
      </c>
      <c r="L14" s="32" t="s">
        <v>587</v>
      </c>
      <c r="M14" s="298" t="s">
        <v>610</v>
      </c>
      <c r="N14" s="32" t="s">
        <v>562</v>
      </c>
      <c r="O14" t="s">
        <v>592</v>
      </c>
      <c r="P14" s="314">
        <v>0</v>
      </c>
      <c r="Q14" s="32" t="s">
        <v>563</v>
      </c>
      <c r="R14" s="306" t="s">
        <v>661</v>
      </c>
    </row>
    <row r="15" spans="1:22" x14ac:dyDescent="0.25">
      <c r="A15" s="32">
        <v>13</v>
      </c>
      <c r="B15" s="292" t="s">
        <v>646</v>
      </c>
      <c r="C15" s="32"/>
      <c r="F15" s="32">
        <v>0</v>
      </c>
      <c r="G15" s="32" t="s">
        <v>563</v>
      </c>
      <c r="H15" s="32" t="s">
        <v>579</v>
      </c>
      <c r="I15" s="32" t="s">
        <v>578</v>
      </c>
      <c r="K15" s="32">
        <v>0</v>
      </c>
      <c r="L15" s="32" t="s">
        <v>588</v>
      </c>
      <c r="M15" s="298" t="s">
        <v>609</v>
      </c>
      <c r="N15" s="32" t="s">
        <v>562</v>
      </c>
      <c r="O15" t="s">
        <v>593</v>
      </c>
      <c r="P15" s="314">
        <v>0</v>
      </c>
      <c r="Q15" s="32" t="s">
        <v>563</v>
      </c>
      <c r="R15" s="306" t="s">
        <v>662</v>
      </c>
    </row>
    <row r="16" spans="1:22" x14ac:dyDescent="0.25">
      <c r="A16" s="32">
        <v>14</v>
      </c>
      <c r="B16" s="292" t="s">
        <v>647</v>
      </c>
      <c r="C16" s="32"/>
      <c r="F16" s="32">
        <v>1</v>
      </c>
      <c r="G16" s="32" t="s">
        <v>563</v>
      </c>
      <c r="H16" s="32" t="s">
        <v>579</v>
      </c>
      <c r="I16" s="32" t="s">
        <v>578</v>
      </c>
      <c r="K16" s="32">
        <v>1</v>
      </c>
      <c r="L16" s="32" t="s">
        <v>588</v>
      </c>
      <c r="M16" s="298" t="s">
        <v>609</v>
      </c>
      <c r="N16" s="32" t="s">
        <v>562</v>
      </c>
      <c r="O16" t="s">
        <v>593</v>
      </c>
      <c r="P16" s="314">
        <v>0</v>
      </c>
      <c r="Q16" s="32" t="s">
        <v>563</v>
      </c>
    </row>
    <row r="17" spans="1:18" x14ac:dyDescent="0.25">
      <c r="A17" s="32">
        <v>15</v>
      </c>
      <c r="B17" s="292" t="s">
        <v>648</v>
      </c>
      <c r="C17" s="32"/>
      <c r="F17" s="32">
        <v>0</v>
      </c>
      <c r="G17" s="32" t="s">
        <v>563</v>
      </c>
      <c r="H17" s="32" t="s">
        <v>579</v>
      </c>
      <c r="I17" s="32" t="s">
        <v>579</v>
      </c>
      <c r="K17" s="32">
        <v>0</v>
      </c>
      <c r="L17" t="s">
        <v>589</v>
      </c>
      <c r="M17" s="298" t="s">
        <v>609</v>
      </c>
      <c r="N17" s="32" t="s">
        <v>562</v>
      </c>
      <c r="O17" t="s">
        <v>563</v>
      </c>
      <c r="P17" s="314">
        <v>0</v>
      </c>
      <c r="Q17" s="32" t="s">
        <v>563</v>
      </c>
    </row>
    <row r="18" spans="1:18" x14ac:dyDescent="0.25">
      <c r="A18" s="32">
        <v>16</v>
      </c>
      <c r="B18" s="292" t="s">
        <v>649</v>
      </c>
      <c r="C18" s="32"/>
      <c r="F18" s="32">
        <v>1</v>
      </c>
      <c r="G18" s="32" t="s">
        <v>563</v>
      </c>
      <c r="H18" s="32" t="s">
        <v>579</v>
      </c>
      <c r="I18" s="32" t="s">
        <v>579</v>
      </c>
      <c r="K18" s="32">
        <v>1</v>
      </c>
      <c r="L18" t="s">
        <v>589</v>
      </c>
      <c r="M18" s="298" t="s">
        <v>609</v>
      </c>
      <c r="N18" s="32" t="s">
        <v>562</v>
      </c>
      <c r="O18" t="s">
        <v>563</v>
      </c>
      <c r="P18" s="314">
        <v>0</v>
      </c>
      <c r="Q18" s="32" t="s">
        <v>563</v>
      </c>
    </row>
    <row r="20" spans="1:18" s="32" customFormat="1" x14ac:dyDescent="0.25">
      <c r="D20" s="293"/>
      <c r="E20" s="292"/>
      <c r="L20" s="348" t="s">
        <v>665</v>
      </c>
      <c r="R20" s="306"/>
    </row>
    <row r="21" spans="1:18" x14ac:dyDescent="0.25">
      <c r="L21" s="348" t="str">
        <f>IF(Variable_Management!B7=1,"Primary of dual chip, 3 phase","")</f>
        <v>Primary of dual chip, 3 phase</v>
      </c>
    </row>
    <row r="22" spans="1:18" x14ac:dyDescent="0.25">
      <c r="L22" s="348" t="str">
        <f>IF(Variable_Management!B7=1,"Primary of dual chip, 4 phase","")</f>
        <v>Primary of dual chip, 4 phase</v>
      </c>
    </row>
    <row r="23" spans="1:18" x14ac:dyDescent="0.25">
      <c r="L23" s="348" t="str">
        <f>IF(Variable_Management!B7=1,"Secondary of dual chip","")</f>
        <v>Secondary of dual chip</v>
      </c>
    </row>
    <row r="26" spans="1:18" x14ac:dyDescent="0.25">
      <c r="L26" s="348" t="s">
        <v>667</v>
      </c>
    </row>
    <row r="27" spans="1:18" x14ac:dyDescent="0.25">
      <c r="L27" s="348" t="str">
        <f>IF(Variable_Management!B161=4,"","Clock: External (SYNCIN)")</f>
        <v>Clock: External (SYNCIN)</v>
      </c>
    </row>
  </sheetData>
  <mergeCells count="2">
    <mergeCell ref="F1:I1"/>
    <mergeCell ref="C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492BE-18DE-4890-A02C-7AFE310404F9}">
  <sheetPr codeName="Sheet6"/>
  <dimension ref="A1:P49"/>
  <sheetViews>
    <sheetView topLeftCell="A16" zoomScale="115" zoomScaleNormal="115" workbookViewId="0">
      <selection activeCell="B44" sqref="B44:K44"/>
    </sheetView>
  </sheetViews>
  <sheetFormatPr defaultColWidth="9.140625" defaultRowHeight="15" x14ac:dyDescent="0.25"/>
  <cols>
    <col min="1" max="1" width="19.140625" style="179" customWidth="1"/>
    <col min="2" max="2" width="15.42578125" style="179" customWidth="1"/>
    <col min="3" max="3" width="14.42578125" style="179" customWidth="1"/>
    <col min="4" max="4" width="17.42578125" style="179" customWidth="1"/>
    <col min="5" max="5" width="27.28515625" style="179" customWidth="1"/>
    <col min="6" max="6" width="35" style="179" customWidth="1"/>
    <col min="7" max="16384" width="9.140625" style="179"/>
  </cols>
  <sheetData>
    <row r="1" spans="1:16" x14ac:dyDescent="0.25">
      <c r="A1" s="393"/>
      <c r="B1" s="393"/>
      <c r="C1" s="393"/>
      <c r="D1" s="393"/>
      <c r="E1" s="393"/>
      <c r="F1" s="393"/>
      <c r="G1" s="393"/>
      <c r="H1" s="393"/>
      <c r="I1" s="393"/>
      <c r="J1" s="393"/>
      <c r="K1" s="393"/>
      <c r="L1" s="393"/>
      <c r="M1" s="243"/>
      <c r="N1" s="243"/>
      <c r="O1" s="243"/>
      <c r="P1" s="243"/>
    </row>
    <row r="2" spans="1:16" x14ac:dyDescent="0.25">
      <c r="A2" s="393"/>
      <c r="B2" s="393"/>
      <c r="C2" s="393"/>
      <c r="D2" s="393"/>
      <c r="E2" s="393"/>
      <c r="F2" s="393"/>
      <c r="G2" s="393"/>
      <c r="H2" s="393"/>
      <c r="I2" s="393"/>
      <c r="J2" s="393"/>
      <c r="K2" s="393"/>
      <c r="L2" s="393"/>
      <c r="M2" s="243"/>
      <c r="N2" s="243"/>
      <c r="O2" s="243"/>
      <c r="P2" s="243"/>
    </row>
    <row r="3" spans="1:16" x14ac:dyDescent="0.25">
      <c r="A3" s="393"/>
      <c r="B3" s="393"/>
      <c r="C3" s="393"/>
      <c r="D3" s="393"/>
      <c r="E3" s="393"/>
      <c r="F3" s="393"/>
      <c r="G3" s="393"/>
      <c r="H3" s="393"/>
      <c r="I3" s="393"/>
      <c r="J3" s="393"/>
      <c r="K3" s="393"/>
      <c r="L3" s="393"/>
      <c r="M3" s="243"/>
      <c r="N3" s="243"/>
      <c r="O3" s="243"/>
      <c r="P3" s="243"/>
    </row>
    <row r="4" spans="1:16" x14ac:dyDescent="0.25">
      <c r="A4" s="394"/>
      <c r="B4" s="394"/>
      <c r="C4" s="394"/>
      <c r="D4" s="394"/>
      <c r="E4" s="394"/>
      <c r="F4" s="394"/>
      <c r="G4" s="394"/>
      <c r="H4" s="394"/>
      <c r="I4" s="394"/>
      <c r="J4" s="394"/>
      <c r="K4" s="394"/>
      <c r="L4" s="394"/>
      <c r="M4" s="243"/>
      <c r="N4" s="243"/>
      <c r="O4" s="243"/>
      <c r="P4" s="243"/>
    </row>
    <row r="5" spans="1:16" x14ac:dyDescent="0.25">
      <c r="A5" s="244" t="s">
        <v>508</v>
      </c>
      <c r="B5" s="335" t="str">
        <f>LOOKUP(2,1/((A37:A46)&lt;&gt;""),(A37:A46))</f>
        <v>1.2</v>
      </c>
      <c r="C5" s="245"/>
      <c r="D5" s="245"/>
      <c r="E5" s="245"/>
      <c r="F5" s="245"/>
      <c r="G5" s="245"/>
      <c r="H5" s="245"/>
      <c r="I5" s="245"/>
      <c r="J5" s="245"/>
      <c r="K5" s="246"/>
      <c r="L5" s="247"/>
      <c r="M5" s="243"/>
      <c r="N5" s="243"/>
      <c r="O5" s="243"/>
      <c r="P5" s="243"/>
    </row>
    <row r="6" spans="1:16" x14ac:dyDescent="0.25">
      <c r="A6" s="244"/>
      <c r="B6" s="248"/>
      <c r="C6" s="245"/>
      <c r="D6" s="245"/>
      <c r="E6" s="245"/>
      <c r="F6" s="245"/>
      <c r="G6" s="245"/>
      <c r="H6" s="245"/>
      <c r="I6" s="245"/>
      <c r="J6" s="247"/>
      <c r="K6" s="247"/>
      <c r="L6" s="247"/>
      <c r="M6" s="243"/>
      <c r="N6" s="243"/>
      <c r="O6" s="243"/>
      <c r="P6" s="243"/>
    </row>
    <row r="7" spans="1:16" x14ac:dyDescent="0.25">
      <c r="A7" s="249"/>
      <c r="B7" s="250"/>
      <c r="C7" s="243"/>
      <c r="D7" s="243"/>
      <c r="E7" s="243"/>
      <c r="F7" s="243"/>
      <c r="G7" s="243"/>
      <c r="H7" s="243"/>
      <c r="I7" s="243"/>
      <c r="J7" s="243"/>
      <c r="K7" s="243"/>
      <c r="L7" s="243"/>
      <c r="M7" s="243"/>
      <c r="N7" s="243"/>
      <c r="O7" s="243"/>
      <c r="P7" s="243"/>
    </row>
    <row r="8" spans="1:16" x14ac:dyDescent="0.25">
      <c r="A8" s="249"/>
      <c r="B8" s="250"/>
      <c r="C8" s="243"/>
      <c r="D8" s="243"/>
      <c r="E8" s="243"/>
      <c r="F8" s="243"/>
      <c r="G8" s="243"/>
      <c r="H8" s="243"/>
      <c r="I8" s="243"/>
      <c r="J8" s="243"/>
      <c r="K8" s="243"/>
      <c r="L8" s="243"/>
      <c r="M8" s="243"/>
      <c r="N8" s="243"/>
      <c r="O8" s="243"/>
      <c r="P8" s="243"/>
    </row>
    <row r="9" spans="1:16" x14ac:dyDescent="0.25">
      <c r="A9" s="249"/>
      <c r="B9" s="250"/>
      <c r="C9" s="243"/>
      <c r="D9" s="243"/>
      <c r="E9" s="243"/>
      <c r="F9" s="243"/>
      <c r="G9" s="243"/>
      <c r="H9" s="243"/>
      <c r="I9" s="243"/>
      <c r="J9" s="243"/>
      <c r="K9" s="243"/>
      <c r="L9" s="243"/>
      <c r="M9" s="243"/>
      <c r="N9" s="243"/>
      <c r="O9" s="243"/>
      <c r="P9" s="243"/>
    </row>
    <row r="10" spans="1:16" x14ac:dyDescent="0.25">
      <c r="A10" s="249"/>
      <c r="B10" s="250"/>
      <c r="C10" s="243"/>
      <c r="D10" s="243"/>
      <c r="E10" s="243"/>
      <c r="F10" s="243"/>
      <c r="G10" s="243"/>
      <c r="H10" s="243"/>
      <c r="I10" s="243"/>
      <c r="J10" s="243"/>
      <c r="K10" s="243"/>
      <c r="L10" s="243"/>
      <c r="M10" s="243"/>
      <c r="N10" s="243"/>
      <c r="O10" s="243"/>
      <c r="P10" s="243"/>
    </row>
    <row r="11" spans="1:16" x14ac:dyDescent="0.25">
      <c r="A11" s="249"/>
      <c r="B11" s="250"/>
      <c r="C11" s="243"/>
      <c r="D11" s="243"/>
      <c r="E11" s="243"/>
      <c r="F11" s="243"/>
      <c r="G11" s="243"/>
      <c r="H11" s="243"/>
      <c r="I11" s="243"/>
      <c r="J11" s="243"/>
      <c r="K11" s="243"/>
      <c r="L11" s="243"/>
      <c r="M11" s="243"/>
      <c r="N11" s="243"/>
      <c r="O11" s="243"/>
      <c r="P11" s="243"/>
    </row>
    <row r="12" spans="1:16" x14ac:dyDescent="0.25">
      <c r="A12" s="249"/>
      <c r="B12" s="250"/>
      <c r="C12" s="243"/>
      <c r="D12" s="243"/>
      <c r="E12" s="243"/>
      <c r="F12" s="243"/>
      <c r="G12" s="243"/>
      <c r="H12" s="243"/>
      <c r="I12" s="243"/>
      <c r="J12" s="243"/>
      <c r="K12" s="243"/>
      <c r="L12" s="243"/>
      <c r="M12" s="243"/>
      <c r="N12" s="243"/>
      <c r="O12" s="243"/>
      <c r="P12" s="243"/>
    </row>
    <row r="13" spans="1:16" x14ac:dyDescent="0.25">
      <c r="A13" s="249"/>
      <c r="B13" s="250"/>
      <c r="C13" s="243"/>
      <c r="D13" s="243"/>
      <c r="E13" s="243"/>
      <c r="F13" s="243"/>
      <c r="G13" s="243"/>
      <c r="H13" s="243"/>
      <c r="I13" s="243"/>
      <c r="J13" s="243"/>
      <c r="K13" s="243"/>
      <c r="L13" s="243"/>
      <c r="M13" s="243"/>
      <c r="N13" s="243"/>
      <c r="O13" s="243"/>
      <c r="P13" s="243"/>
    </row>
    <row r="14" spans="1:16" x14ac:dyDescent="0.25">
      <c r="A14" s="249"/>
      <c r="B14" s="250"/>
      <c r="C14" s="243"/>
      <c r="D14" s="243"/>
      <c r="E14" s="243"/>
      <c r="F14" s="243"/>
      <c r="G14" s="243"/>
      <c r="H14" s="243"/>
      <c r="I14" s="243"/>
      <c r="J14" s="243"/>
      <c r="K14" s="243"/>
      <c r="L14" s="243"/>
      <c r="M14" s="243"/>
      <c r="N14" s="243"/>
      <c r="O14" s="243"/>
      <c r="P14" s="243"/>
    </row>
    <row r="15" spans="1:16" x14ac:dyDescent="0.25">
      <c r="A15" s="249"/>
      <c r="B15" s="250"/>
      <c r="C15" s="243"/>
      <c r="D15" s="243"/>
      <c r="E15" s="243"/>
      <c r="F15" s="243"/>
      <c r="G15" s="243"/>
      <c r="H15" s="243"/>
      <c r="I15" s="243"/>
      <c r="J15" s="243"/>
      <c r="K15" s="243"/>
      <c r="L15" s="243"/>
      <c r="M15" s="243"/>
      <c r="N15" s="243"/>
      <c r="O15" s="243"/>
      <c r="P15" s="243"/>
    </row>
    <row r="16" spans="1:16" x14ac:dyDescent="0.25">
      <c r="A16" s="249"/>
      <c r="B16" s="250"/>
      <c r="C16" s="243"/>
      <c r="D16" s="243"/>
      <c r="E16" s="243"/>
      <c r="F16" s="243"/>
      <c r="G16" s="243"/>
      <c r="H16" s="243"/>
      <c r="I16" s="243"/>
      <c r="J16" s="243"/>
      <c r="K16" s="243"/>
      <c r="L16" s="243"/>
      <c r="M16" s="243"/>
      <c r="N16" s="243"/>
      <c r="O16" s="243"/>
      <c r="P16" s="243"/>
    </row>
    <row r="17" spans="1:16" x14ac:dyDescent="0.25">
      <c r="A17" s="249"/>
      <c r="B17" s="250"/>
      <c r="C17" s="243"/>
      <c r="D17" s="243"/>
      <c r="E17" s="243"/>
      <c r="F17" s="243"/>
      <c r="G17" s="243"/>
      <c r="H17" s="243"/>
      <c r="I17" s="243"/>
      <c r="J17" s="243"/>
      <c r="K17" s="243"/>
      <c r="L17" s="243"/>
      <c r="M17" s="243"/>
      <c r="N17" s="243"/>
      <c r="O17" s="243"/>
      <c r="P17" s="243"/>
    </row>
    <row r="18" spans="1:16" x14ac:dyDescent="0.25">
      <c r="A18" s="249"/>
      <c r="B18" s="250"/>
      <c r="C18" s="243"/>
      <c r="D18" s="243"/>
      <c r="E18" s="243"/>
      <c r="F18" s="243"/>
      <c r="G18" s="243"/>
      <c r="H18" s="243"/>
      <c r="I18" s="243"/>
      <c r="J18" s="243"/>
      <c r="K18" s="243"/>
      <c r="L18" s="243"/>
      <c r="M18" s="243"/>
      <c r="N18" s="243"/>
      <c r="O18" s="243"/>
      <c r="P18" s="243"/>
    </row>
    <row r="19" spans="1:16" x14ac:dyDescent="0.25">
      <c r="A19" s="249"/>
      <c r="B19" s="250"/>
      <c r="C19" s="243"/>
      <c r="D19" s="243"/>
      <c r="E19" s="243"/>
      <c r="F19" s="243"/>
      <c r="G19" s="243"/>
      <c r="H19" s="243"/>
      <c r="I19" s="243"/>
      <c r="J19" s="243"/>
      <c r="K19" s="243"/>
      <c r="L19" s="243"/>
      <c r="M19" s="243"/>
      <c r="N19" s="243"/>
      <c r="O19" s="243"/>
      <c r="P19" s="243"/>
    </row>
    <row r="20" spans="1:16" x14ac:dyDescent="0.25">
      <c r="A20" s="249"/>
      <c r="B20" s="250"/>
      <c r="C20" s="243"/>
      <c r="D20" s="243"/>
      <c r="E20" s="243"/>
      <c r="F20" s="243"/>
      <c r="G20" s="243"/>
      <c r="H20" s="243"/>
      <c r="I20" s="243"/>
      <c r="J20" s="243"/>
      <c r="K20" s="243"/>
      <c r="L20" s="243"/>
      <c r="M20" s="243"/>
      <c r="N20" s="243"/>
      <c r="O20" s="243"/>
      <c r="P20" s="243"/>
    </row>
    <row r="21" spans="1:16" x14ac:dyDescent="0.25">
      <c r="A21" s="249"/>
      <c r="B21" s="250"/>
      <c r="C21" s="243"/>
      <c r="D21" s="243"/>
      <c r="E21" s="243"/>
      <c r="F21" s="243"/>
      <c r="G21" s="243"/>
      <c r="H21" s="243"/>
      <c r="I21" s="243"/>
      <c r="J21" s="243"/>
      <c r="K21" s="243"/>
      <c r="L21" s="243"/>
      <c r="M21" s="243"/>
      <c r="N21" s="243"/>
      <c r="O21" s="243"/>
      <c r="P21" s="243"/>
    </row>
    <row r="22" spans="1:16" x14ac:dyDescent="0.25">
      <c r="A22" s="249"/>
      <c r="B22" s="250"/>
      <c r="C22" s="243"/>
      <c r="D22" s="243"/>
      <c r="E22" s="243"/>
      <c r="F22" s="243"/>
      <c r="G22" s="243"/>
      <c r="H22" s="243"/>
      <c r="I22" s="243"/>
      <c r="J22" s="243"/>
      <c r="K22" s="243"/>
      <c r="L22" s="243"/>
      <c r="M22" s="243"/>
      <c r="N22" s="243"/>
      <c r="O22" s="243"/>
      <c r="P22" s="243"/>
    </row>
    <row r="23" spans="1:16" x14ac:dyDescent="0.25">
      <c r="A23" s="249"/>
      <c r="B23" s="250"/>
      <c r="C23" s="243"/>
      <c r="D23" s="243"/>
      <c r="E23" s="243"/>
      <c r="F23" s="243"/>
      <c r="G23" s="243"/>
      <c r="H23" s="243"/>
      <c r="I23" s="243"/>
      <c r="J23" s="243"/>
      <c r="K23" s="243"/>
      <c r="L23" s="243"/>
      <c r="M23" s="243"/>
      <c r="N23" s="243"/>
      <c r="O23" s="243"/>
      <c r="P23" s="243"/>
    </row>
    <row r="24" spans="1:16" x14ac:dyDescent="0.25">
      <c r="A24" s="249"/>
      <c r="B24" s="250"/>
      <c r="C24" s="243"/>
      <c r="D24" s="243"/>
      <c r="E24" s="243"/>
      <c r="F24" s="243"/>
      <c r="G24" s="243"/>
      <c r="H24" s="243"/>
      <c r="I24" s="243"/>
      <c r="J24" s="243"/>
      <c r="K24" s="243"/>
      <c r="L24" s="243"/>
      <c r="M24" s="243"/>
      <c r="N24" s="243"/>
      <c r="O24" s="243"/>
      <c r="P24" s="243"/>
    </row>
    <row r="25" spans="1:16" x14ac:dyDescent="0.25">
      <c r="A25" s="249"/>
      <c r="B25" s="250"/>
      <c r="C25" s="243"/>
      <c r="D25" s="243"/>
      <c r="E25" s="243"/>
      <c r="F25" s="243"/>
      <c r="G25" s="243"/>
      <c r="H25" s="243"/>
      <c r="I25" s="243"/>
      <c r="J25" s="243"/>
      <c r="K25" s="243"/>
      <c r="L25" s="243"/>
      <c r="M25" s="243"/>
      <c r="N25" s="243"/>
      <c r="O25" s="243"/>
      <c r="P25" s="243"/>
    </row>
    <row r="26" spans="1:16" x14ac:dyDescent="0.25">
      <c r="A26" s="249"/>
      <c r="B26" s="250"/>
      <c r="C26" s="243"/>
      <c r="D26" s="243"/>
      <c r="E26" s="243"/>
      <c r="F26" s="243"/>
      <c r="G26" s="243"/>
      <c r="H26" s="243"/>
      <c r="I26" s="243"/>
      <c r="J26" s="243"/>
      <c r="K26" s="243"/>
      <c r="L26" s="243"/>
      <c r="M26" s="243"/>
      <c r="N26" s="243"/>
      <c r="O26" s="243"/>
      <c r="P26" s="243"/>
    </row>
    <row r="27" spans="1:16" x14ac:dyDescent="0.25">
      <c r="A27" s="249"/>
      <c r="B27" s="250"/>
      <c r="C27" s="243"/>
      <c r="D27" s="243"/>
      <c r="E27" s="243"/>
      <c r="F27" s="243"/>
      <c r="G27" s="243"/>
      <c r="H27" s="243"/>
      <c r="I27" s="243"/>
      <c r="J27" s="243"/>
      <c r="K27" s="243"/>
      <c r="L27" s="243"/>
      <c r="M27" s="243"/>
      <c r="N27" s="243"/>
      <c r="O27" s="243"/>
      <c r="P27" s="243"/>
    </row>
    <row r="28" spans="1:16" x14ac:dyDescent="0.25">
      <c r="A28" s="249"/>
      <c r="B28" s="250"/>
      <c r="C28" s="243"/>
      <c r="D28" s="243"/>
      <c r="E28" s="243"/>
      <c r="F28" s="243"/>
      <c r="G28" s="243"/>
      <c r="H28" s="243"/>
      <c r="I28" s="243"/>
      <c r="J28" s="243"/>
      <c r="K28" s="243"/>
      <c r="L28" s="243"/>
      <c r="M28" s="243"/>
      <c r="N28" s="243"/>
      <c r="O28" s="243"/>
      <c r="P28" s="243"/>
    </row>
    <row r="29" spans="1:16" x14ac:dyDescent="0.25">
      <c r="A29" s="249"/>
      <c r="B29" s="250"/>
      <c r="C29" s="243"/>
      <c r="D29" s="243"/>
      <c r="E29" s="243"/>
      <c r="F29" s="243"/>
      <c r="G29" s="243"/>
      <c r="H29" s="243"/>
      <c r="I29" s="243"/>
      <c r="J29" s="243"/>
      <c r="K29" s="243"/>
      <c r="L29" s="243"/>
      <c r="M29" s="243"/>
      <c r="N29" s="243"/>
      <c r="O29" s="243"/>
      <c r="P29" s="243"/>
    </row>
    <row r="30" spans="1:16" x14ac:dyDescent="0.25">
      <c r="A30" s="249"/>
      <c r="B30" s="250"/>
      <c r="C30" s="243"/>
      <c r="D30" s="243"/>
      <c r="E30" s="243"/>
      <c r="F30" s="243"/>
      <c r="G30" s="243"/>
      <c r="H30" s="243"/>
      <c r="I30" s="243"/>
      <c r="J30" s="243"/>
      <c r="K30" s="243"/>
      <c r="L30" s="243"/>
      <c r="M30" s="243"/>
      <c r="N30" s="243"/>
      <c r="O30" s="243"/>
      <c r="P30" s="243"/>
    </row>
    <row r="31" spans="1:16" x14ac:dyDescent="0.25">
      <c r="A31" s="249"/>
      <c r="B31" s="250"/>
      <c r="C31" s="243"/>
      <c r="D31" s="243"/>
      <c r="E31" s="243"/>
      <c r="F31" s="243"/>
      <c r="G31" s="243"/>
      <c r="H31" s="243"/>
      <c r="I31" s="243"/>
      <c r="J31" s="243"/>
      <c r="K31" s="243"/>
      <c r="L31" s="243"/>
      <c r="M31" s="243"/>
      <c r="N31" s="243"/>
      <c r="O31" s="243"/>
      <c r="P31" s="243"/>
    </row>
    <row r="32" spans="1:16" x14ac:dyDescent="0.25">
      <c r="A32" s="249"/>
      <c r="B32" s="250"/>
      <c r="C32" s="243"/>
      <c r="D32" s="243"/>
      <c r="E32" s="243"/>
      <c r="F32" s="243"/>
      <c r="G32" s="243"/>
      <c r="H32" s="243"/>
      <c r="I32" s="243"/>
      <c r="J32" s="243"/>
      <c r="K32" s="243"/>
      <c r="L32" s="243"/>
      <c r="M32" s="243"/>
      <c r="N32" s="243"/>
      <c r="O32" s="243"/>
      <c r="P32" s="243"/>
    </row>
    <row r="33" spans="1:16" x14ac:dyDescent="0.25">
      <c r="A33" s="249"/>
      <c r="B33" s="250"/>
      <c r="C33" s="243"/>
      <c r="D33" s="243"/>
      <c r="E33" s="243"/>
      <c r="F33" s="243"/>
      <c r="G33" s="243"/>
      <c r="H33" s="243"/>
      <c r="I33" s="243"/>
      <c r="J33" s="243"/>
      <c r="K33" s="243"/>
      <c r="L33" s="243"/>
      <c r="M33" s="243"/>
      <c r="N33" s="243"/>
      <c r="O33" s="243"/>
      <c r="P33" s="243"/>
    </row>
    <row r="34" spans="1:16" x14ac:dyDescent="0.25">
      <c r="A34" s="249"/>
      <c r="B34" s="250"/>
      <c r="C34" s="243"/>
      <c r="D34" s="243"/>
      <c r="E34" s="243"/>
      <c r="F34" s="243"/>
      <c r="G34" s="243"/>
      <c r="H34" s="243"/>
      <c r="I34" s="243"/>
      <c r="J34" s="243"/>
      <c r="K34" s="243"/>
      <c r="L34" s="243"/>
      <c r="M34" s="243"/>
      <c r="N34" s="243"/>
      <c r="O34" s="243"/>
      <c r="P34" s="243"/>
    </row>
    <row r="35" spans="1:16" x14ac:dyDescent="0.25">
      <c r="A35" s="251" t="s">
        <v>509</v>
      </c>
      <c r="B35" s="252"/>
      <c r="C35" s="245"/>
      <c r="D35" s="245"/>
      <c r="E35" s="245"/>
      <c r="F35" s="245"/>
      <c r="G35" s="245"/>
      <c r="H35" s="245"/>
      <c r="I35" s="245"/>
      <c r="J35" s="245"/>
      <c r="K35" s="245"/>
      <c r="L35" s="243"/>
      <c r="M35" s="243"/>
      <c r="N35" s="243"/>
      <c r="O35" s="243"/>
      <c r="P35" s="243"/>
    </row>
    <row r="36" spans="1:16" x14ac:dyDescent="0.25">
      <c r="A36" s="242" t="s">
        <v>510</v>
      </c>
      <c r="B36" s="395" t="s">
        <v>511</v>
      </c>
      <c r="C36" s="395"/>
      <c r="D36" s="395"/>
      <c r="E36" s="395"/>
      <c r="F36" s="395"/>
      <c r="G36" s="395"/>
      <c r="H36" s="395"/>
      <c r="I36" s="395"/>
      <c r="J36" s="395"/>
      <c r="K36" s="395"/>
      <c r="L36" s="241"/>
      <c r="M36" s="243"/>
      <c r="N36" s="243"/>
      <c r="O36" s="243"/>
      <c r="P36" s="243"/>
    </row>
    <row r="37" spans="1:16" x14ac:dyDescent="0.25">
      <c r="A37" s="253" t="s">
        <v>686</v>
      </c>
      <c r="B37" s="396" t="s">
        <v>512</v>
      </c>
      <c r="C37" s="396"/>
      <c r="D37" s="396"/>
      <c r="E37" s="396"/>
      <c r="F37" s="396"/>
      <c r="G37" s="396"/>
      <c r="H37" s="396"/>
      <c r="I37" s="396"/>
      <c r="J37" s="396"/>
      <c r="K37" s="396"/>
      <c r="L37" s="243"/>
      <c r="M37" s="243"/>
      <c r="N37" s="243"/>
      <c r="O37" s="243"/>
      <c r="P37" s="243"/>
    </row>
    <row r="38" spans="1:16" x14ac:dyDescent="0.25">
      <c r="A38" s="251">
        <v>1.1000000000000001</v>
      </c>
      <c r="B38" s="392" t="s">
        <v>752</v>
      </c>
      <c r="C38" s="392"/>
      <c r="D38" s="392"/>
      <c r="E38" s="392"/>
      <c r="F38" s="392"/>
      <c r="G38" s="392"/>
      <c r="H38" s="392"/>
      <c r="I38" s="392"/>
      <c r="J38" s="392"/>
      <c r="K38" s="392"/>
      <c r="L38" s="243"/>
      <c r="M38" s="243"/>
      <c r="N38" s="243"/>
      <c r="O38" s="243"/>
      <c r="P38" s="243"/>
    </row>
    <row r="39" spans="1:16" x14ac:dyDescent="0.25">
      <c r="A39" s="253" t="s">
        <v>769</v>
      </c>
      <c r="B39" s="392" t="s">
        <v>770</v>
      </c>
      <c r="C39" s="392"/>
      <c r="D39" s="392"/>
      <c r="E39" s="392"/>
      <c r="F39" s="392"/>
      <c r="G39" s="392"/>
      <c r="H39" s="392"/>
      <c r="I39" s="392"/>
      <c r="J39" s="392"/>
      <c r="K39" s="392"/>
      <c r="L39" s="243"/>
      <c r="M39" s="243"/>
      <c r="N39" s="243"/>
      <c r="O39" s="243"/>
      <c r="P39" s="243"/>
    </row>
    <row r="40" spans="1:16" x14ac:dyDescent="0.25">
      <c r="A40" s="251"/>
      <c r="B40" s="392"/>
      <c r="C40" s="392"/>
      <c r="D40" s="392"/>
      <c r="E40" s="392"/>
      <c r="F40" s="392"/>
      <c r="G40" s="392"/>
      <c r="H40" s="392"/>
      <c r="I40" s="392"/>
      <c r="J40" s="392"/>
      <c r="K40" s="392"/>
      <c r="L40" s="243"/>
      <c r="M40" s="243"/>
      <c r="N40" s="243"/>
      <c r="O40" s="243"/>
      <c r="P40" s="243"/>
    </row>
    <row r="41" spans="1:16" x14ac:dyDescent="0.25">
      <c r="A41" s="251"/>
      <c r="B41" s="392"/>
      <c r="C41" s="392"/>
      <c r="D41" s="392"/>
      <c r="E41" s="392"/>
      <c r="F41" s="392"/>
      <c r="G41" s="392"/>
      <c r="H41" s="392"/>
      <c r="I41" s="392"/>
      <c r="J41" s="392"/>
      <c r="K41" s="392"/>
      <c r="L41" s="243"/>
      <c r="M41" s="243"/>
      <c r="N41" s="243"/>
      <c r="O41" s="243"/>
      <c r="P41" s="243"/>
    </row>
    <row r="42" spans="1:16" x14ac:dyDescent="0.25">
      <c r="A42" s="251"/>
      <c r="B42" s="392"/>
      <c r="C42" s="392"/>
      <c r="D42" s="392"/>
      <c r="E42" s="392"/>
      <c r="F42" s="392"/>
      <c r="G42" s="392"/>
      <c r="H42" s="392"/>
      <c r="I42" s="392"/>
      <c r="J42" s="392"/>
      <c r="K42" s="392"/>
      <c r="L42" s="243"/>
      <c r="M42" s="243"/>
      <c r="N42" s="243"/>
      <c r="O42" s="243"/>
      <c r="P42" s="243"/>
    </row>
    <row r="43" spans="1:16" x14ac:dyDescent="0.25">
      <c r="A43" s="251"/>
      <c r="B43" s="392"/>
      <c r="C43" s="392"/>
      <c r="D43" s="392"/>
      <c r="E43" s="392"/>
      <c r="F43" s="392"/>
      <c r="G43" s="392"/>
      <c r="H43" s="392"/>
      <c r="I43" s="392"/>
      <c r="J43" s="392"/>
      <c r="K43" s="392"/>
      <c r="L43" s="243"/>
      <c r="M43" s="243"/>
      <c r="N43" s="243"/>
      <c r="O43" s="243"/>
      <c r="P43" s="243"/>
    </row>
    <row r="44" spans="1:16" x14ac:dyDescent="0.25">
      <c r="A44" s="251"/>
      <c r="B44" s="392"/>
      <c r="C44" s="392"/>
      <c r="D44" s="392"/>
      <c r="E44" s="392"/>
      <c r="F44" s="392"/>
      <c r="G44" s="392"/>
      <c r="H44" s="392"/>
      <c r="I44" s="392"/>
      <c r="J44" s="392"/>
      <c r="K44" s="392"/>
      <c r="L44" s="254"/>
      <c r="M44" s="254"/>
      <c r="N44" s="254"/>
      <c r="O44" s="254"/>
      <c r="P44" s="254"/>
    </row>
    <row r="45" spans="1:16" x14ac:dyDescent="0.25">
      <c r="A45" s="251"/>
      <c r="B45" s="392"/>
      <c r="C45" s="392"/>
      <c r="D45" s="392"/>
      <c r="E45" s="392"/>
      <c r="F45" s="392"/>
      <c r="G45" s="392"/>
      <c r="H45" s="392"/>
      <c r="I45" s="392"/>
      <c r="J45" s="392"/>
      <c r="K45" s="392"/>
      <c r="L45" s="243"/>
      <c r="M45" s="243"/>
      <c r="N45" s="243"/>
      <c r="O45" s="243"/>
      <c r="P45" s="243"/>
    </row>
    <row r="46" spans="1:16" x14ac:dyDescent="0.25">
      <c r="A46" s="251"/>
      <c r="B46" s="392"/>
      <c r="C46" s="392"/>
      <c r="D46" s="392"/>
      <c r="E46" s="392"/>
      <c r="F46" s="392"/>
      <c r="G46" s="392"/>
      <c r="H46" s="392"/>
      <c r="I46" s="392"/>
      <c r="J46" s="392"/>
      <c r="K46" s="392"/>
      <c r="L46" s="243"/>
      <c r="M46" s="243"/>
      <c r="N46" s="243"/>
      <c r="O46" s="243"/>
      <c r="P46" s="243"/>
    </row>
    <row r="47" spans="1:16" x14ac:dyDescent="0.25">
      <c r="A47" s="251"/>
      <c r="B47" s="392"/>
      <c r="C47" s="392"/>
      <c r="D47" s="392"/>
      <c r="E47" s="392"/>
      <c r="F47" s="392"/>
      <c r="G47" s="392"/>
      <c r="H47" s="392"/>
      <c r="I47" s="392"/>
      <c r="J47" s="392"/>
      <c r="K47" s="392"/>
      <c r="L47" s="243"/>
      <c r="M47" s="243"/>
      <c r="N47" s="243"/>
      <c r="O47" s="243"/>
      <c r="P47" s="243"/>
    </row>
    <row r="48" spans="1:16" x14ac:dyDescent="0.25">
      <c r="A48" s="249"/>
      <c r="B48" s="392"/>
      <c r="C48" s="392"/>
      <c r="D48" s="392"/>
      <c r="E48" s="392"/>
      <c r="F48" s="392"/>
      <c r="G48" s="392"/>
      <c r="H48" s="392"/>
      <c r="I48" s="392"/>
      <c r="J48" s="392"/>
      <c r="K48" s="392"/>
      <c r="L48" s="243"/>
      <c r="M48" s="243"/>
      <c r="N48" s="243"/>
      <c r="O48" s="243"/>
      <c r="P48" s="243"/>
    </row>
    <row r="49" spans="1:16" x14ac:dyDescent="0.25">
      <c r="A49" s="251"/>
      <c r="B49" s="392"/>
      <c r="C49" s="392"/>
      <c r="D49" s="392"/>
      <c r="E49" s="392"/>
      <c r="F49" s="392"/>
      <c r="G49" s="392"/>
      <c r="H49" s="392"/>
      <c r="I49" s="392"/>
      <c r="J49" s="392"/>
      <c r="K49" s="392"/>
      <c r="L49" s="243"/>
      <c r="M49" s="243"/>
      <c r="N49" s="243"/>
      <c r="O49" s="243"/>
      <c r="P49" s="243"/>
    </row>
  </sheetData>
  <sheetProtection algorithmName="SHA-512" hashValue="5I8/NLXiNuKI7UpTNXvRmNQGigYFtGHsfvEOVttI2x6rKF8SoaM3xMSRl1SLA4dx6kOYr6VYi9UMseR3DhvUWA==" saltValue="G74j0n9q+QQReEMILeD2Kg==" spinCount="100000" sheet="1" objects="1" scenarios="1" selectLockedCells="1" selectUnlockedCells="1"/>
  <mergeCells count="16">
    <mergeCell ref="B39:K39"/>
    <mergeCell ref="A1:L3"/>
    <mergeCell ref="A4:L4"/>
    <mergeCell ref="B36:K36"/>
    <mergeCell ref="B37:K37"/>
    <mergeCell ref="B38:K38"/>
    <mergeCell ref="B46:K46"/>
    <mergeCell ref="B47:K47"/>
    <mergeCell ref="B48:K48"/>
    <mergeCell ref="B49:K49"/>
    <mergeCell ref="B40:K40"/>
    <mergeCell ref="B41:K41"/>
    <mergeCell ref="B42:K42"/>
    <mergeCell ref="B43:K43"/>
    <mergeCell ref="B44:K44"/>
    <mergeCell ref="B45:K45"/>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146</vt:i4>
      </vt:variant>
    </vt:vector>
  </HeadingPairs>
  <TitlesOfParts>
    <vt:vector size="153" baseType="lpstr">
      <vt:lpstr>Design Converter</vt:lpstr>
      <vt:lpstr>Variable_Management</vt:lpstr>
      <vt:lpstr>Loop_Modeling</vt:lpstr>
      <vt:lpstr>Eff_vs_IOUT</vt:lpstr>
      <vt:lpstr>Constants</vt:lpstr>
      <vt:lpstr>Lists</vt:lpstr>
      <vt:lpstr>Important Notice and Disclaimer</vt:lpstr>
      <vt:lpstr>Acs</vt:lpstr>
      <vt:lpstr>Adc</vt:lpstr>
      <vt:lpstr>Adc_ea</vt:lpstr>
      <vt:lpstr>ADC_VINmin</vt:lpstr>
      <vt:lpstr>CCOMP</vt:lpstr>
      <vt:lpstr>CCOMP_Calc</vt:lpstr>
      <vt:lpstr>CCOMP_calc_CCM</vt:lpstr>
      <vt:lpstr>CCOMP_CALC_DCM</vt:lpstr>
      <vt:lpstr>CHF</vt:lpstr>
      <vt:lpstr>CHF_calc</vt:lpstr>
      <vt:lpstr>CHF_CALC_CCM</vt:lpstr>
      <vt:lpstr>CHF_CALC_DCM</vt:lpstr>
      <vt:lpstr>CISS</vt:lpstr>
      <vt:lpstr>Comp_calc_CCM</vt:lpstr>
      <vt:lpstr>Cout</vt:lpstr>
      <vt:lpstr>Cout_min</vt:lpstr>
      <vt:lpstr>DC_DCM_max</vt:lpstr>
      <vt:lpstr>Dc_max_IC</vt:lpstr>
      <vt:lpstr>Dc_max_ideal</vt:lpstr>
      <vt:lpstr>DC_rip</vt:lpstr>
      <vt:lpstr>Dc_rip_max</vt:lpstr>
      <vt:lpstr>Dc_VIN_max</vt:lpstr>
      <vt:lpstr>Dc_VIN_min</vt:lpstr>
      <vt:lpstr>Dc_VIN_nom</vt:lpstr>
      <vt:lpstr>DC_VIN_var_DCM</vt:lpstr>
      <vt:lpstr>EFF_est</vt:lpstr>
      <vt:lpstr>fcross</vt:lpstr>
      <vt:lpstr>fcross_est</vt:lpstr>
      <vt:lpstr>fp_ea_est</vt:lpstr>
      <vt:lpstr>Fsw</vt:lpstr>
      <vt:lpstr>fz_ea_est</vt:lpstr>
      <vt:lpstr>fz_rhp</vt:lpstr>
      <vt:lpstr>GAIN</vt:lpstr>
      <vt:lpstr>Gcomp</vt:lpstr>
      <vt:lpstr>gfs</vt:lpstr>
      <vt:lpstr>GIMON</vt:lpstr>
      <vt:lpstr>gm_ea</vt:lpstr>
      <vt:lpstr>Gplant_fc_dB</vt:lpstr>
      <vt:lpstr>I_offset</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IOUT_VAR</vt:lpstr>
      <vt:lpstr>Ipk_margin</vt:lpstr>
      <vt:lpstr>Ipk_selected</vt:lpstr>
      <vt:lpstr>IQ</vt:lpstr>
      <vt:lpstr>IRMS_COUT</vt:lpstr>
      <vt:lpstr>Iss</vt:lpstr>
      <vt:lpstr>Kd</vt:lpstr>
      <vt:lpstr>Kd_VINmin</vt:lpstr>
      <vt:lpstr>Kex</vt:lpstr>
      <vt:lpstr>Kex_VINmin</vt:lpstr>
      <vt:lpstr>Kfb</vt:lpstr>
      <vt:lpstr>Km</vt:lpstr>
      <vt:lpstr>Km_VINmin</vt:lpstr>
      <vt:lpstr>Lm</vt:lpstr>
      <vt:lpstr>Lopt_2</vt:lpstr>
      <vt:lpstr>M_L_DCM</vt:lpstr>
      <vt:lpstr>Np</vt:lpstr>
      <vt:lpstr>POUT</vt:lpstr>
      <vt:lpstr>'Design Converter'!Print_Area</vt:lpstr>
      <vt:lpstr>Q</vt:lpstr>
      <vt:lpstr>Q_VINmin</vt:lpstr>
      <vt:lpstr>Qg_tot</vt:lpstr>
      <vt:lpstr>Qg_tot_HS</vt:lpstr>
      <vt:lpstr>Qgd</vt:lpstr>
      <vt:lpstr>Qgs</vt:lpstr>
      <vt:lpstr>Qrr</vt:lpstr>
      <vt:lpstr>R_ATRK</vt:lpstr>
      <vt:lpstr>R_cs</vt:lpstr>
      <vt:lpstr>R_sl</vt:lpstr>
      <vt:lpstr>RCOMP</vt:lpstr>
      <vt:lpstr>RCOMP_Calc</vt:lpstr>
      <vt:lpstr>Rcomp_calc_CCM</vt:lpstr>
      <vt:lpstr>RCOMP_CALC_DCM</vt:lpstr>
      <vt:lpstr>Rcs_max</vt:lpstr>
      <vt:lpstr>Rcs_wo_sl</vt:lpstr>
      <vt:lpstr>Rdcr</vt:lpstr>
      <vt:lpstr>RDS_on</vt:lpstr>
      <vt:lpstr>RDS_on_HS</vt:lpstr>
      <vt:lpstr>Resr</vt:lpstr>
      <vt:lpstr>RFBB</vt:lpstr>
      <vt:lpstr>RFBT</vt:lpstr>
      <vt:lpstr>Rg</vt:lpstr>
      <vt:lpstr>Rg_int</vt:lpstr>
      <vt:lpstr>Rgate</vt:lpstr>
      <vt:lpstr>ROUT</vt:lpstr>
      <vt:lpstr>RT</vt:lpstr>
      <vt:lpstr>Ruvlo_bottom_calc</vt:lpstr>
      <vt:lpstr>Ruvlo_bottom_sel</vt:lpstr>
      <vt:lpstr>Ruvlo_top_sel</vt:lpstr>
      <vt:lpstr>Se_VINmin</vt:lpstr>
      <vt:lpstr>Sn_VINmin</vt:lpstr>
      <vt:lpstr>t_dead</vt:lpstr>
      <vt:lpstr>tf_sw</vt:lpstr>
      <vt:lpstr>tr_sw</vt:lpstr>
      <vt:lpstr>tss</vt:lpstr>
      <vt:lpstr>UV_fall</vt:lpstr>
      <vt:lpstr>UV_I_hyst</vt:lpstr>
      <vt:lpstr>UV_rise</vt:lpstr>
      <vt:lpstr>V_ATRK</vt:lpstr>
      <vt:lpstr>V_ILIM</vt:lpstr>
      <vt:lpstr>Vcc</vt:lpstr>
      <vt:lpstr>Vcl</vt:lpstr>
      <vt:lpstr>Vd_rect</vt:lpstr>
      <vt:lpstr>Vgsth</vt:lpstr>
      <vt:lpstr>VIN_33</vt:lpstr>
      <vt:lpstr>VIN_max</vt:lpstr>
      <vt:lpstr>VIN_min</vt:lpstr>
      <vt:lpstr>VIN_nom</vt:lpstr>
      <vt:lpstr>VIN_op_max</vt:lpstr>
      <vt:lpstr>VIN_op_min</vt:lpstr>
      <vt:lpstr>VIN_var</vt:lpstr>
      <vt:lpstr>VOUT</vt:lpstr>
      <vt:lpstr>Vout_rip_sel</vt:lpstr>
      <vt:lpstr>Vref</vt:lpstr>
      <vt:lpstr>Vsl</vt:lpstr>
      <vt:lpstr>Vth</vt:lpstr>
      <vt:lpstr>VTRK</vt:lpstr>
      <vt:lpstr>Vuvlo_off</vt:lpstr>
      <vt:lpstr>Vuvlo_on</vt:lpstr>
      <vt:lpstr>wp_lf</vt:lpstr>
      <vt:lpstr>wp_lf_DCM</vt:lpstr>
      <vt:lpstr>wp_lf_VINmin</vt:lpstr>
      <vt:lpstr>wp0_ea</vt:lpstr>
      <vt:lpstr>wp1_ea</vt:lpstr>
      <vt:lpstr>wsl</vt:lpstr>
      <vt:lpstr>wsl_VINmin</vt:lpstr>
      <vt:lpstr>wz_ea</vt:lpstr>
      <vt:lpstr>wz_esr</vt:lpstr>
      <vt:lpstr>wz_esr_VINmin</vt:lpstr>
      <vt:lpstr>wz_rhp</vt:lpstr>
      <vt:lpstr>wz_RHP_VINmin</vt:lpstr>
      <vt:lpstr>wz1_dcm</vt:lpstr>
      <vt:lpstr>wz2_dcm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Ji, Feng</cp:lastModifiedBy>
  <cp:lastPrinted>2018-08-09T07:13:51Z</cp:lastPrinted>
  <dcterms:created xsi:type="dcterms:W3CDTF">2018-06-26T09:13:29Z</dcterms:created>
  <dcterms:modified xsi:type="dcterms:W3CDTF">2025-08-06T07:04:14Z</dcterms:modified>
</cp:coreProperties>
</file>